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zanne.Sprague\Downloads\"/>
    </mc:Choice>
  </mc:AlternateContent>
  <xr:revisionPtr revIDLastSave="0" documentId="13_ncr:1_{86FCF0F1-C90F-4A64-82A1-0DD3C82BF3D1}" xr6:coauthVersionLast="47" xr6:coauthVersionMax="47" xr10:uidLastSave="{00000000-0000-0000-0000-000000000000}"/>
  <bookViews>
    <workbookView xWindow="-120" yWindow="-120" windowWidth="19440" windowHeight="15000" xr2:uid="{358AFDB4-398F-4A70-828D-CD1441D80EE8}"/>
  </bookViews>
  <sheets>
    <sheet name="Data" sheetId="1" r:id="rId1"/>
    <sheet name="ADM, LTADM" sheetId="6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Data!$A$2:$CX$54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R4" i="1"/>
  <c r="S4" i="1"/>
  <c r="T4" i="1"/>
  <c r="U4" i="1"/>
  <c r="V4" i="1"/>
  <c r="W4" i="1"/>
  <c r="X4" i="1"/>
  <c r="Y4" i="1"/>
  <c r="R5" i="1"/>
  <c r="S5" i="1"/>
  <c r="T5" i="1"/>
  <c r="U5" i="1"/>
  <c r="V5" i="1"/>
  <c r="W5" i="1"/>
  <c r="X5" i="1"/>
  <c r="Y5" i="1"/>
  <c r="R6" i="1"/>
  <c r="S6" i="1"/>
  <c r="T6" i="1"/>
  <c r="U6" i="1"/>
  <c r="V6" i="1"/>
  <c r="W6" i="1"/>
  <c r="X6" i="1"/>
  <c r="Y6" i="1"/>
  <c r="R7" i="1"/>
  <c r="S7" i="1"/>
  <c r="T7" i="1"/>
  <c r="U7" i="1"/>
  <c r="V7" i="1"/>
  <c r="W7" i="1"/>
  <c r="X7" i="1"/>
  <c r="Y7" i="1"/>
  <c r="R8" i="1"/>
  <c r="S8" i="1"/>
  <c r="T8" i="1"/>
  <c r="U8" i="1"/>
  <c r="V8" i="1"/>
  <c r="W8" i="1"/>
  <c r="X8" i="1"/>
  <c r="Y8" i="1"/>
  <c r="R9" i="1"/>
  <c r="S9" i="1"/>
  <c r="T9" i="1"/>
  <c r="U9" i="1"/>
  <c r="V9" i="1"/>
  <c r="W9" i="1"/>
  <c r="X9" i="1"/>
  <c r="Y9" i="1"/>
  <c r="R10" i="1"/>
  <c r="S10" i="1"/>
  <c r="T10" i="1"/>
  <c r="U10" i="1"/>
  <c r="V10" i="1"/>
  <c r="W10" i="1"/>
  <c r="X10" i="1"/>
  <c r="Y10" i="1"/>
  <c r="R11" i="1"/>
  <c r="S11" i="1"/>
  <c r="T11" i="1"/>
  <c r="U11" i="1"/>
  <c r="V11" i="1"/>
  <c r="W11" i="1"/>
  <c r="X11" i="1"/>
  <c r="Y11" i="1"/>
  <c r="R12" i="1"/>
  <c r="S12" i="1"/>
  <c r="T12" i="1"/>
  <c r="U12" i="1"/>
  <c r="V12" i="1"/>
  <c r="W12" i="1"/>
  <c r="X12" i="1"/>
  <c r="Y12" i="1"/>
  <c r="R13" i="1"/>
  <c r="S13" i="1"/>
  <c r="T13" i="1"/>
  <c r="U13" i="1"/>
  <c r="V13" i="1"/>
  <c r="W13" i="1"/>
  <c r="X13" i="1"/>
  <c r="Y13" i="1"/>
  <c r="R14" i="1"/>
  <c r="S14" i="1"/>
  <c r="T14" i="1"/>
  <c r="U14" i="1"/>
  <c r="V14" i="1"/>
  <c r="W14" i="1"/>
  <c r="X14" i="1"/>
  <c r="Y14" i="1"/>
  <c r="R15" i="1"/>
  <c r="S15" i="1"/>
  <c r="T15" i="1"/>
  <c r="U15" i="1"/>
  <c r="V15" i="1"/>
  <c r="W15" i="1"/>
  <c r="X15" i="1"/>
  <c r="Y15" i="1"/>
  <c r="R16" i="1"/>
  <c r="S16" i="1"/>
  <c r="T16" i="1"/>
  <c r="U16" i="1"/>
  <c r="V16" i="1"/>
  <c r="W16" i="1"/>
  <c r="X16" i="1"/>
  <c r="Y16" i="1"/>
  <c r="R17" i="1"/>
  <c r="S17" i="1"/>
  <c r="T17" i="1"/>
  <c r="U17" i="1"/>
  <c r="V17" i="1"/>
  <c r="W17" i="1"/>
  <c r="X17" i="1"/>
  <c r="Y17" i="1"/>
  <c r="R18" i="1"/>
  <c r="S18" i="1"/>
  <c r="T18" i="1"/>
  <c r="U18" i="1"/>
  <c r="V18" i="1"/>
  <c r="W18" i="1"/>
  <c r="X18" i="1"/>
  <c r="Y18" i="1"/>
  <c r="R19" i="1"/>
  <c r="S19" i="1"/>
  <c r="T19" i="1"/>
  <c r="U19" i="1"/>
  <c r="V19" i="1"/>
  <c r="W19" i="1"/>
  <c r="X19" i="1"/>
  <c r="Y19" i="1"/>
  <c r="R20" i="1"/>
  <c r="S20" i="1"/>
  <c r="T20" i="1"/>
  <c r="U20" i="1"/>
  <c r="V20" i="1"/>
  <c r="W20" i="1"/>
  <c r="X20" i="1"/>
  <c r="Y20" i="1"/>
  <c r="R21" i="1"/>
  <c r="S21" i="1"/>
  <c r="T21" i="1"/>
  <c r="U21" i="1"/>
  <c r="V21" i="1"/>
  <c r="W21" i="1"/>
  <c r="X21" i="1"/>
  <c r="Y21" i="1"/>
  <c r="R22" i="1"/>
  <c r="S22" i="1"/>
  <c r="T22" i="1"/>
  <c r="U22" i="1"/>
  <c r="V22" i="1"/>
  <c r="W22" i="1"/>
  <c r="X22" i="1"/>
  <c r="Y22" i="1"/>
  <c r="R23" i="1"/>
  <c r="S23" i="1"/>
  <c r="T23" i="1"/>
  <c r="U23" i="1"/>
  <c r="V23" i="1"/>
  <c r="W23" i="1"/>
  <c r="X23" i="1"/>
  <c r="Y23" i="1"/>
  <c r="R24" i="1"/>
  <c r="S24" i="1"/>
  <c r="T24" i="1"/>
  <c r="U24" i="1"/>
  <c r="V24" i="1"/>
  <c r="W24" i="1"/>
  <c r="X24" i="1"/>
  <c r="Y24" i="1"/>
  <c r="R25" i="1"/>
  <c r="S25" i="1"/>
  <c r="T25" i="1"/>
  <c r="U25" i="1"/>
  <c r="V25" i="1"/>
  <c r="W25" i="1"/>
  <c r="X25" i="1"/>
  <c r="Y25" i="1"/>
  <c r="R26" i="1"/>
  <c r="S26" i="1"/>
  <c r="T26" i="1"/>
  <c r="U26" i="1"/>
  <c r="V26" i="1"/>
  <c r="W26" i="1"/>
  <c r="X26" i="1"/>
  <c r="Y26" i="1"/>
  <c r="R27" i="1"/>
  <c r="S27" i="1"/>
  <c r="T27" i="1"/>
  <c r="U27" i="1"/>
  <c r="V27" i="1"/>
  <c r="W27" i="1"/>
  <c r="X27" i="1"/>
  <c r="Y27" i="1"/>
  <c r="R28" i="1"/>
  <c r="S28" i="1"/>
  <c r="T28" i="1"/>
  <c r="U28" i="1"/>
  <c r="V28" i="1"/>
  <c r="W28" i="1"/>
  <c r="X28" i="1"/>
  <c r="Y28" i="1"/>
  <c r="R29" i="1"/>
  <c r="S29" i="1"/>
  <c r="T29" i="1"/>
  <c r="U29" i="1"/>
  <c r="V29" i="1"/>
  <c r="W29" i="1"/>
  <c r="X29" i="1"/>
  <c r="Y29" i="1"/>
  <c r="R30" i="1"/>
  <c r="S30" i="1"/>
  <c r="T30" i="1"/>
  <c r="U30" i="1"/>
  <c r="V30" i="1"/>
  <c r="W30" i="1"/>
  <c r="X30" i="1"/>
  <c r="Y30" i="1"/>
  <c r="R31" i="1"/>
  <c r="S31" i="1"/>
  <c r="T31" i="1"/>
  <c r="U31" i="1"/>
  <c r="V31" i="1"/>
  <c r="W31" i="1"/>
  <c r="X31" i="1"/>
  <c r="Y31" i="1"/>
  <c r="R32" i="1"/>
  <c r="S32" i="1"/>
  <c r="T32" i="1"/>
  <c r="U32" i="1"/>
  <c r="V32" i="1"/>
  <c r="W32" i="1"/>
  <c r="X32" i="1"/>
  <c r="Y32" i="1"/>
  <c r="R33" i="1"/>
  <c r="S33" i="1"/>
  <c r="T33" i="1"/>
  <c r="U33" i="1"/>
  <c r="V33" i="1"/>
  <c r="W33" i="1"/>
  <c r="X33" i="1"/>
  <c r="Y33" i="1"/>
  <c r="R34" i="1"/>
  <c r="S34" i="1"/>
  <c r="T34" i="1"/>
  <c r="U34" i="1"/>
  <c r="V34" i="1"/>
  <c r="W34" i="1"/>
  <c r="X34" i="1"/>
  <c r="Y34" i="1"/>
  <c r="R35" i="1"/>
  <c r="S35" i="1"/>
  <c r="T35" i="1"/>
  <c r="U35" i="1"/>
  <c r="V35" i="1"/>
  <c r="W35" i="1"/>
  <c r="X35" i="1"/>
  <c r="Y35" i="1"/>
  <c r="R36" i="1"/>
  <c r="S36" i="1"/>
  <c r="T36" i="1"/>
  <c r="U36" i="1"/>
  <c r="V36" i="1"/>
  <c r="W36" i="1"/>
  <c r="X36" i="1"/>
  <c r="Y36" i="1"/>
  <c r="R37" i="1"/>
  <c r="S37" i="1"/>
  <c r="T37" i="1"/>
  <c r="U37" i="1"/>
  <c r="V37" i="1"/>
  <c r="W37" i="1"/>
  <c r="X37" i="1"/>
  <c r="Y37" i="1"/>
  <c r="R38" i="1"/>
  <c r="S38" i="1"/>
  <c r="T38" i="1"/>
  <c r="U38" i="1"/>
  <c r="V38" i="1"/>
  <c r="W38" i="1"/>
  <c r="X38" i="1"/>
  <c r="Y38" i="1"/>
  <c r="R39" i="1"/>
  <c r="S39" i="1"/>
  <c r="T39" i="1"/>
  <c r="U39" i="1"/>
  <c r="V39" i="1"/>
  <c r="W39" i="1"/>
  <c r="X39" i="1"/>
  <c r="Y39" i="1"/>
  <c r="R40" i="1"/>
  <c r="S40" i="1"/>
  <c r="T40" i="1"/>
  <c r="U40" i="1"/>
  <c r="V40" i="1"/>
  <c r="W40" i="1"/>
  <c r="X40" i="1"/>
  <c r="Y40" i="1"/>
  <c r="R41" i="1"/>
  <c r="S41" i="1"/>
  <c r="T41" i="1"/>
  <c r="U41" i="1"/>
  <c r="V41" i="1"/>
  <c r="W41" i="1"/>
  <c r="X41" i="1"/>
  <c r="Y41" i="1"/>
  <c r="R42" i="1"/>
  <c r="S42" i="1"/>
  <c r="T42" i="1"/>
  <c r="U42" i="1"/>
  <c r="V42" i="1"/>
  <c r="W42" i="1"/>
  <c r="X42" i="1"/>
  <c r="Y42" i="1"/>
  <c r="R43" i="1"/>
  <c r="S43" i="1"/>
  <c r="T43" i="1"/>
  <c r="U43" i="1"/>
  <c r="V43" i="1"/>
  <c r="W43" i="1"/>
  <c r="X43" i="1"/>
  <c r="Y43" i="1"/>
  <c r="R44" i="1"/>
  <c r="S44" i="1"/>
  <c r="T44" i="1"/>
  <c r="U44" i="1"/>
  <c r="V44" i="1"/>
  <c r="W44" i="1"/>
  <c r="X44" i="1"/>
  <c r="Y44" i="1"/>
  <c r="R45" i="1"/>
  <c r="S45" i="1"/>
  <c r="T45" i="1"/>
  <c r="U45" i="1"/>
  <c r="V45" i="1"/>
  <c r="W45" i="1"/>
  <c r="X45" i="1"/>
  <c r="Y45" i="1"/>
  <c r="R46" i="1"/>
  <c r="S46" i="1"/>
  <c r="T46" i="1"/>
  <c r="U46" i="1"/>
  <c r="V46" i="1"/>
  <c r="W46" i="1"/>
  <c r="X46" i="1"/>
  <c r="Y46" i="1"/>
  <c r="R47" i="1"/>
  <c r="S47" i="1"/>
  <c r="T47" i="1"/>
  <c r="U47" i="1"/>
  <c r="V47" i="1"/>
  <c r="W47" i="1"/>
  <c r="X47" i="1"/>
  <c r="Y47" i="1"/>
  <c r="R48" i="1"/>
  <c r="S48" i="1"/>
  <c r="T48" i="1"/>
  <c r="U48" i="1"/>
  <c r="V48" i="1"/>
  <c r="W48" i="1"/>
  <c r="X48" i="1"/>
  <c r="Y48" i="1"/>
  <c r="R49" i="1"/>
  <c r="S49" i="1"/>
  <c r="T49" i="1"/>
  <c r="U49" i="1"/>
  <c r="V49" i="1"/>
  <c r="W49" i="1"/>
  <c r="X49" i="1"/>
  <c r="Y49" i="1"/>
  <c r="R50" i="1"/>
  <c r="S50" i="1"/>
  <c r="T50" i="1"/>
  <c r="U50" i="1"/>
  <c r="V50" i="1"/>
  <c r="W50" i="1"/>
  <c r="X50" i="1"/>
  <c r="Y50" i="1"/>
  <c r="R51" i="1"/>
  <c r="S51" i="1"/>
  <c r="T51" i="1"/>
  <c r="U51" i="1"/>
  <c r="V51" i="1"/>
  <c r="W51" i="1"/>
  <c r="X51" i="1"/>
  <c r="Y51" i="1"/>
  <c r="R52" i="1"/>
  <c r="S52" i="1"/>
  <c r="T52" i="1"/>
  <c r="U52" i="1"/>
  <c r="V52" i="1"/>
  <c r="W52" i="1"/>
  <c r="X52" i="1"/>
  <c r="Y52" i="1"/>
  <c r="R53" i="1"/>
  <c r="S53" i="1"/>
  <c r="T53" i="1"/>
  <c r="U53" i="1"/>
  <c r="V53" i="1"/>
  <c r="W53" i="1"/>
  <c r="X53" i="1"/>
  <c r="Y53" i="1"/>
  <c r="Y3" i="1"/>
  <c r="X3" i="1"/>
  <c r="W3" i="1"/>
  <c r="V3" i="1"/>
  <c r="U3" i="1"/>
  <c r="T3" i="1"/>
  <c r="S3" i="1"/>
  <c r="R3" i="1"/>
  <c r="CA4" i="1" l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AI4" i="1" l="1"/>
  <c r="AJ4" i="1"/>
  <c r="AK4" i="1"/>
  <c r="AL4" i="1"/>
  <c r="AI5" i="1"/>
  <c r="AJ5" i="1"/>
  <c r="AK5" i="1"/>
  <c r="AL5" i="1"/>
  <c r="AI6" i="1"/>
  <c r="AJ6" i="1"/>
  <c r="AK6" i="1"/>
  <c r="AL6" i="1"/>
  <c r="AI7" i="1"/>
  <c r="AJ7" i="1"/>
  <c r="AK7" i="1"/>
  <c r="AL7" i="1"/>
  <c r="AI8" i="1"/>
  <c r="AJ8" i="1"/>
  <c r="AK8" i="1"/>
  <c r="AL8" i="1"/>
  <c r="AI9" i="1"/>
  <c r="AJ9" i="1"/>
  <c r="AK9" i="1"/>
  <c r="AL9" i="1"/>
  <c r="AI10" i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AI34" i="1"/>
  <c r="AJ34" i="1"/>
  <c r="AK34" i="1"/>
  <c r="AL34" i="1"/>
  <c r="AI35" i="1"/>
  <c r="AJ35" i="1"/>
  <c r="AK35" i="1"/>
  <c r="AL35" i="1"/>
  <c r="AI36" i="1"/>
  <c r="AJ36" i="1"/>
  <c r="AK36" i="1"/>
  <c r="AL36" i="1"/>
  <c r="AI37" i="1"/>
  <c r="AJ37" i="1"/>
  <c r="AK37" i="1"/>
  <c r="AL37" i="1"/>
  <c r="AI38" i="1"/>
  <c r="AJ38" i="1"/>
  <c r="AK38" i="1"/>
  <c r="AL38" i="1"/>
  <c r="AI39" i="1"/>
  <c r="AJ39" i="1"/>
  <c r="AK39" i="1"/>
  <c r="AL39" i="1"/>
  <c r="AI40" i="1"/>
  <c r="AJ40" i="1"/>
  <c r="AK40" i="1"/>
  <c r="AL40" i="1"/>
  <c r="AI41" i="1"/>
  <c r="AJ41" i="1"/>
  <c r="AK41" i="1"/>
  <c r="AL41" i="1"/>
  <c r="AI42" i="1"/>
  <c r="AJ42" i="1"/>
  <c r="AK42" i="1"/>
  <c r="AL42" i="1"/>
  <c r="AI43" i="1"/>
  <c r="AJ43" i="1"/>
  <c r="AK43" i="1"/>
  <c r="AL43" i="1"/>
  <c r="AI44" i="1"/>
  <c r="AJ44" i="1"/>
  <c r="AK44" i="1"/>
  <c r="AL44" i="1"/>
  <c r="AI45" i="1"/>
  <c r="AJ45" i="1"/>
  <c r="AK45" i="1"/>
  <c r="AL45" i="1"/>
  <c r="AI46" i="1"/>
  <c r="AJ46" i="1"/>
  <c r="AK46" i="1"/>
  <c r="AL46" i="1"/>
  <c r="AI47" i="1"/>
  <c r="AJ47" i="1"/>
  <c r="AK47" i="1"/>
  <c r="AL47" i="1"/>
  <c r="AI48" i="1"/>
  <c r="AJ48" i="1"/>
  <c r="AK48" i="1"/>
  <c r="AL48" i="1"/>
  <c r="AI49" i="1"/>
  <c r="AJ49" i="1"/>
  <c r="AK49" i="1"/>
  <c r="AL49" i="1"/>
  <c r="AI50" i="1"/>
  <c r="AJ50" i="1"/>
  <c r="AK50" i="1"/>
  <c r="AL50" i="1"/>
  <c r="AI51" i="1"/>
  <c r="AJ51" i="1"/>
  <c r="AK51" i="1"/>
  <c r="AL51" i="1"/>
  <c r="AI52" i="1"/>
  <c r="AJ52" i="1"/>
  <c r="AK52" i="1"/>
  <c r="AL52" i="1"/>
  <c r="AI53" i="1"/>
  <c r="AJ53" i="1"/>
  <c r="AK53" i="1"/>
  <c r="AL53" i="1"/>
  <c r="AK3" i="1"/>
  <c r="AJ3" i="1"/>
  <c r="AI3" i="1"/>
  <c r="AJ56" i="1" l="1"/>
  <c r="AK56" i="1"/>
  <c r="AI56" i="1"/>
  <c r="F56" i="1"/>
  <c r="G56" i="1"/>
  <c r="H56" i="1"/>
  <c r="I56" i="1"/>
  <c r="J56" i="1"/>
  <c r="K56" i="1"/>
  <c r="L56" i="1"/>
  <c r="M56" i="1"/>
  <c r="N56" i="1"/>
  <c r="O56" i="1"/>
  <c r="P56" i="1"/>
  <c r="Q56" i="1"/>
  <c r="Z56" i="1"/>
  <c r="AA56" i="1"/>
  <c r="AB56" i="1"/>
  <c r="AC56" i="1"/>
  <c r="EF4" i="1"/>
  <c r="EG4" i="1"/>
  <c r="EH4" i="1"/>
  <c r="EI4" i="1"/>
  <c r="FT4" i="1" s="1"/>
  <c r="FX4" i="1" s="1"/>
  <c r="EJ4" i="1"/>
  <c r="EK4" i="1"/>
  <c r="EL4" i="1"/>
  <c r="EM4" i="1"/>
  <c r="FU4" i="1" s="1"/>
  <c r="FY4" i="1" s="1"/>
  <c r="EN4" i="1"/>
  <c r="EO4" i="1"/>
  <c r="EP4" i="1"/>
  <c r="EQ4" i="1"/>
  <c r="FV4" i="1" s="1"/>
  <c r="FZ4" i="1" s="1"/>
  <c r="ER4" i="1"/>
  <c r="ES4" i="1"/>
  <c r="ET4" i="1"/>
  <c r="EU4" i="1"/>
  <c r="FW4" i="1" s="1"/>
  <c r="GA4" i="1" s="1"/>
  <c r="EF5" i="1"/>
  <c r="EG5" i="1"/>
  <c r="EH5" i="1"/>
  <c r="EI5" i="1"/>
  <c r="FT5" i="1" s="1"/>
  <c r="FX5" i="1" s="1"/>
  <c r="EJ5" i="1"/>
  <c r="EK5" i="1"/>
  <c r="EL5" i="1"/>
  <c r="EM5" i="1"/>
  <c r="FU5" i="1" s="1"/>
  <c r="FY5" i="1" s="1"/>
  <c r="EN5" i="1"/>
  <c r="EO5" i="1"/>
  <c r="EP5" i="1"/>
  <c r="EQ5" i="1"/>
  <c r="FV5" i="1" s="1"/>
  <c r="FZ5" i="1" s="1"/>
  <c r="ER5" i="1"/>
  <c r="ES5" i="1"/>
  <c r="ET5" i="1"/>
  <c r="EU5" i="1"/>
  <c r="FW5" i="1" s="1"/>
  <c r="GA5" i="1" s="1"/>
  <c r="EF6" i="1"/>
  <c r="EG6" i="1"/>
  <c r="EH6" i="1"/>
  <c r="EI6" i="1"/>
  <c r="FT6" i="1" s="1"/>
  <c r="FX6" i="1" s="1"/>
  <c r="EJ6" i="1"/>
  <c r="EK6" i="1"/>
  <c r="EL6" i="1"/>
  <c r="EM6" i="1"/>
  <c r="FU6" i="1" s="1"/>
  <c r="FY6" i="1" s="1"/>
  <c r="EN6" i="1"/>
  <c r="EO6" i="1"/>
  <c r="EP6" i="1"/>
  <c r="EQ6" i="1"/>
  <c r="FV6" i="1" s="1"/>
  <c r="FZ6" i="1" s="1"/>
  <c r="ER6" i="1"/>
  <c r="ES6" i="1"/>
  <c r="ET6" i="1"/>
  <c r="EU6" i="1"/>
  <c r="FW6" i="1" s="1"/>
  <c r="GA6" i="1" s="1"/>
  <c r="EF7" i="1"/>
  <c r="EG7" i="1"/>
  <c r="EH7" i="1"/>
  <c r="EI7" i="1"/>
  <c r="FT7" i="1" s="1"/>
  <c r="FX7" i="1" s="1"/>
  <c r="EJ7" i="1"/>
  <c r="EK7" i="1"/>
  <c r="EL7" i="1"/>
  <c r="EM7" i="1"/>
  <c r="FU7" i="1" s="1"/>
  <c r="FY7" i="1" s="1"/>
  <c r="EN7" i="1"/>
  <c r="EO7" i="1"/>
  <c r="EP7" i="1"/>
  <c r="EQ7" i="1"/>
  <c r="FV7" i="1" s="1"/>
  <c r="FZ7" i="1" s="1"/>
  <c r="ER7" i="1"/>
  <c r="ES7" i="1"/>
  <c r="ET7" i="1"/>
  <c r="EU7" i="1"/>
  <c r="FW7" i="1" s="1"/>
  <c r="GA7" i="1" s="1"/>
  <c r="EF8" i="1"/>
  <c r="EG8" i="1"/>
  <c r="EH8" i="1"/>
  <c r="EI8" i="1"/>
  <c r="FT8" i="1" s="1"/>
  <c r="FX8" i="1" s="1"/>
  <c r="EJ8" i="1"/>
  <c r="EK8" i="1"/>
  <c r="EL8" i="1"/>
  <c r="EM8" i="1"/>
  <c r="FU8" i="1" s="1"/>
  <c r="FY8" i="1" s="1"/>
  <c r="EN8" i="1"/>
  <c r="EO8" i="1"/>
  <c r="EP8" i="1"/>
  <c r="EQ8" i="1"/>
  <c r="FV8" i="1" s="1"/>
  <c r="FZ8" i="1" s="1"/>
  <c r="ER8" i="1"/>
  <c r="ES8" i="1"/>
  <c r="ET8" i="1"/>
  <c r="EU8" i="1"/>
  <c r="FW8" i="1" s="1"/>
  <c r="GA8" i="1" s="1"/>
  <c r="EF9" i="1"/>
  <c r="EG9" i="1"/>
  <c r="EH9" i="1"/>
  <c r="EI9" i="1"/>
  <c r="FT9" i="1" s="1"/>
  <c r="FX9" i="1" s="1"/>
  <c r="EJ9" i="1"/>
  <c r="EK9" i="1"/>
  <c r="EL9" i="1"/>
  <c r="EM9" i="1"/>
  <c r="FU9" i="1" s="1"/>
  <c r="FY9" i="1" s="1"/>
  <c r="EN9" i="1"/>
  <c r="EO9" i="1"/>
  <c r="EP9" i="1"/>
  <c r="EQ9" i="1"/>
  <c r="FV9" i="1" s="1"/>
  <c r="FZ9" i="1" s="1"/>
  <c r="ER9" i="1"/>
  <c r="ES9" i="1"/>
  <c r="ET9" i="1"/>
  <c r="EU9" i="1"/>
  <c r="FW9" i="1" s="1"/>
  <c r="GA9" i="1" s="1"/>
  <c r="EF10" i="1"/>
  <c r="EG10" i="1"/>
  <c r="EH10" i="1"/>
  <c r="EI10" i="1"/>
  <c r="FT10" i="1" s="1"/>
  <c r="FX10" i="1" s="1"/>
  <c r="EJ10" i="1"/>
  <c r="EK10" i="1"/>
  <c r="EL10" i="1"/>
  <c r="EM10" i="1"/>
  <c r="FU10" i="1" s="1"/>
  <c r="FY10" i="1" s="1"/>
  <c r="EN10" i="1"/>
  <c r="EO10" i="1"/>
  <c r="EP10" i="1"/>
  <c r="EQ10" i="1"/>
  <c r="FV10" i="1" s="1"/>
  <c r="FZ10" i="1" s="1"/>
  <c r="ER10" i="1"/>
  <c r="ES10" i="1"/>
  <c r="ET10" i="1"/>
  <c r="EU10" i="1"/>
  <c r="FW10" i="1" s="1"/>
  <c r="GA10" i="1" s="1"/>
  <c r="EF11" i="1"/>
  <c r="EG11" i="1"/>
  <c r="EH11" i="1"/>
  <c r="EI11" i="1"/>
  <c r="FT11" i="1" s="1"/>
  <c r="FX11" i="1" s="1"/>
  <c r="EJ11" i="1"/>
  <c r="EK11" i="1"/>
  <c r="EL11" i="1"/>
  <c r="EM11" i="1"/>
  <c r="FU11" i="1" s="1"/>
  <c r="FY11" i="1" s="1"/>
  <c r="EN11" i="1"/>
  <c r="EO11" i="1"/>
  <c r="EP11" i="1"/>
  <c r="EQ11" i="1"/>
  <c r="FV11" i="1" s="1"/>
  <c r="FZ11" i="1" s="1"/>
  <c r="ER11" i="1"/>
  <c r="ES11" i="1"/>
  <c r="ET11" i="1"/>
  <c r="EU11" i="1"/>
  <c r="FW11" i="1" s="1"/>
  <c r="GA11" i="1" s="1"/>
  <c r="EF12" i="1"/>
  <c r="EG12" i="1"/>
  <c r="EH12" i="1"/>
  <c r="EI12" i="1"/>
  <c r="FT12" i="1" s="1"/>
  <c r="FX12" i="1" s="1"/>
  <c r="EJ12" i="1"/>
  <c r="EK12" i="1"/>
  <c r="EL12" i="1"/>
  <c r="EM12" i="1"/>
  <c r="FU12" i="1" s="1"/>
  <c r="FY12" i="1" s="1"/>
  <c r="EN12" i="1"/>
  <c r="EO12" i="1"/>
  <c r="EP12" i="1"/>
  <c r="EQ12" i="1"/>
  <c r="FV12" i="1" s="1"/>
  <c r="FZ12" i="1" s="1"/>
  <c r="ER12" i="1"/>
  <c r="ES12" i="1"/>
  <c r="ET12" i="1"/>
  <c r="EU12" i="1"/>
  <c r="FW12" i="1" s="1"/>
  <c r="GA12" i="1" s="1"/>
  <c r="EF13" i="1"/>
  <c r="EG13" i="1"/>
  <c r="EH13" i="1"/>
  <c r="EI13" i="1"/>
  <c r="FT13" i="1" s="1"/>
  <c r="FX13" i="1" s="1"/>
  <c r="EJ13" i="1"/>
  <c r="EK13" i="1"/>
  <c r="EL13" i="1"/>
  <c r="EM13" i="1"/>
  <c r="FU13" i="1" s="1"/>
  <c r="FY13" i="1" s="1"/>
  <c r="EN13" i="1"/>
  <c r="EO13" i="1"/>
  <c r="EP13" i="1"/>
  <c r="EQ13" i="1"/>
  <c r="FV13" i="1" s="1"/>
  <c r="FZ13" i="1" s="1"/>
  <c r="ER13" i="1"/>
  <c r="ES13" i="1"/>
  <c r="ET13" i="1"/>
  <c r="EU13" i="1"/>
  <c r="FW13" i="1" s="1"/>
  <c r="GA13" i="1" s="1"/>
  <c r="EF14" i="1"/>
  <c r="EG14" i="1"/>
  <c r="EH14" i="1"/>
  <c r="EI14" i="1"/>
  <c r="FT14" i="1" s="1"/>
  <c r="FX14" i="1" s="1"/>
  <c r="EJ14" i="1"/>
  <c r="EK14" i="1"/>
  <c r="EL14" i="1"/>
  <c r="EM14" i="1"/>
  <c r="FU14" i="1" s="1"/>
  <c r="FY14" i="1" s="1"/>
  <c r="EN14" i="1"/>
  <c r="EO14" i="1"/>
  <c r="EP14" i="1"/>
  <c r="EQ14" i="1"/>
  <c r="FV14" i="1" s="1"/>
  <c r="FZ14" i="1" s="1"/>
  <c r="ER14" i="1"/>
  <c r="ES14" i="1"/>
  <c r="ET14" i="1"/>
  <c r="EU14" i="1"/>
  <c r="FW14" i="1" s="1"/>
  <c r="GA14" i="1" s="1"/>
  <c r="EF15" i="1"/>
  <c r="EG15" i="1"/>
  <c r="EH15" i="1"/>
  <c r="EI15" i="1"/>
  <c r="FT15" i="1" s="1"/>
  <c r="FX15" i="1" s="1"/>
  <c r="EJ15" i="1"/>
  <c r="EK15" i="1"/>
  <c r="EL15" i="1"/>
  <c r="EM15" i="1"/>
  <c r="FU15" i="1" s="1"/>
  <c r="FY15" i="1" s="1"/>
  <c r="EN15" i="1"/>
  <c r="EO15" i="1"/>
  <c r="EP15" i="1"/>
  <c r="EQ15" i="1"/>
  <c r="FV15" i="1" s="1"/>
  <c r="FZ15" i="1" s="1"/>
  <c r="ER15" i="1"/>
  <c r="ES15" i="1"/>
  <c r="ET15" i="1"/>
  <c r="EU15" i="1"/>
  <c r="FW15" i="1" s="1"/>
  <c r="GA15" i="1" s="1"/>
  <c r="EF16" i="1"/>
  <c r="EG16" i="1"/>
  <c r="EH16" i="1"/>
  <c r="EI16" i="1"/>
  <c r="FT16" i="1" s="1"/>
  <c r="FX16" i="1" s="1"/>
  <c r="EJ16" i="1"/>
  <c r="EK16" i="1"/>
  <c r="EL16" i="1"/>
  <c r="EM16" i="1"/>
  <c r="FU16" i="1" s="1"/>
  <c r="FY16" i="1" s="1"/>
  <c r="EN16" i="1"/>
  <c r="EO16" i="1"/>
  <c r="EP16" i="1"/>
  <c r="EQ16" i="1"/>
  <c r="FV16" i="1" s="1"/>
  <c r="FZ16" i="1" s="1"/>
  <c r="ER16" i="1"/>
  <c r="ES16" i="1"/>
  <c r="ET16" i="1"/>
  <c r="EU16" i="1"/>
  <c r="FW16" i="1" s="1"/>
  <c r="GA16" i="1" s="1"/>
  <c r="EF17" i="1"/>
  <c r="EG17" i="1"/>
  <c r="EH17" i="1"/>
  <c r="EI17" i="1"/>
  <c r="FT17" i="1" s="1"/>
  <c r="FX17" i="1" s="1"/>
  <c r="EJ17" i="1"/>
  <c r="EK17" i="1"/>
  <c r="EL17" i="1"/>
  <c r="EM17" i="1"/>
  <c r="FU17" i="1" s="1"/>
  <c r="FY17" i="1" s="1"/>
  <c r="EN17" i="1"/>
  <c r="EO17" i="1"/>
  <c r="EP17" i="1"/>
  <c r="EQ17" i="1"/>
  <c r="FV17" i="1" s="1"/>
  <c r="FZ17" i="1" s="1"/>
  <c r="ER17" i="1"/>
  <c r="ES17" i="1"/>
  <c r="ET17" i="1"/>
  <c r="EU17" i="1"/>
  <c r="FW17" i="1" s="1"/>
  <c r="GA17" i="1" s="1"/>
  <c r="EF18" i="1"/>
  <c r="EG18" i="1"/>
  <c r="EH18" i="1"/>
  <c r="EI18" i="1"/>
  <c r="FT18" i="1" s="1"/>
  <c r="FX18" i="1" s="1"/>
  <c r="EJ18" i="1"/>
  <c r="EK18" i="1"/>
  <c r="EL18" i="1"/>
  <c r="EM18" i="1"/>
  <c r="FU18" i="1" s="1"/>
  <c r="FY18" i="1" s="1"/>
  <c r="EN18" i="1"/>
  <c r="EO18" i="1"/>
  <c r="EP18" i="1"/>
  <c r="EQ18" i="1"/>
  <c r="FV18" i="1" s="1"/>
  <c r="FZ18" i="1" s="1"/>
  <c r="ER18" i="1"/>
  <c r="ES18" i="1"/>
  <c r="ET18" i="1"/>
  <c r="EU18" i="1"/>
  <c r="FW18" i="1" s="1"/>
  <c r="GA18" i="1" s="1"/>
  <c r="EF19" i="1"/>
  <c r="EG19" i="1"/>
  <c r="EH19" i="1"/>
  <c r="EI19" i="1"/>
  <c r="FT19" i="1" s="1"/>
  <c r="FX19" i="1" s="1"/>
  <c r="EJ19" i="1"/>
  <c r="EK19" i="1"/>
  <c r="EL19" i="1"/>
  <c r="EM19" i="1"/>
  <c r="FU19" i="1" s="1"/>
  <c r="FY19" i="1" s="1"/>
  <c r="EN19" i="1"/>
  <c r="EO19" i="1"/>
  <c r="EP19" i="1"/>
  <c r="EQ19" i="1"/>
  <c r="FV19" i="1" s="1"/>
  <c r="FZ19" i="1" s="1"/>
  <c r="ER19" i="1"/>
  <c r="ES19" i="1"/>
  <c r="ET19" i="1"/>
  <c r="EU19" i="1"/>
  <c r="FW19" i="1" s="1"/>
  <c r="GA19" i="1" s="1"/>
  <c r="EF20" i="1"/>
  <c r="EG20" i="1"/>
  <c r="EH20" i="1"/>
  <c r="EI20" i="1"/>
  <c r="FT20" i="1" s="1"/>
  <c r="FX20" i="1" s="1"/>
  <c r="EJ20" i="1"/>
  <c r="EK20" i="1"/>
  <c r="EL20" i="1"/>
  <c r="EM20" i="1"/>
  <c r="FU20" i="1" s="1"/>
  <c r="FY20" i="1" s="1"/>
  <c r="EN20" i="1"/>
  <c r="EO20" i="1"/>
  <c r="EP20" i="1"/>
  <c r="EQ20" i="1"/>
  <c r="FV20" i="1" s="1"/>
  <c r="FZ20" i="1" s="1"/>
  <c r="ER20" i="1"/>
  <c r="ES20" i="1"/>
  <c r="ET20" i="1"/>
  <c r="EU20" i="1"/>
  <c r="FW20" i="1" s="1"/>
  <c r="GA20" i="1" s="1"/>
  <c r="EF21" i="1"/>
  <c r="EG21" i="1"/>
  <c r="EH21" i="1"/>
  <c r="EI21" i="1"/>
  <c r="FT21" i="1" s="1"/>
  <c r="FX21" i="1" s="1"/>
  <c r="EJ21" i="1"/>
  <c r="EK21" i="1"/>
  <c r="EL21" i="1"/>
  <c r="EM21" i="1"/>
  <c r="FU21" i="1" s="1"/>
  <c r="FY21" i="1" s="1"/>
  <c r="EN21" i="1"/>
  <c r="EO21" i="1"/>
  <c r="EP21" i="1"/>
  <c r="EQ21" i="1"/>
  <c r="FV21" i="1" s="1"/>
  <c r="FZ21" i="1" s="1"/>
  <c r="ER21" i="1"/>
  <c r="ES21" i="1"/>
  <c r="ET21" i="1"/>
  <c r="EU21" i="1"/>
  <c r="FW21" i="1" s="1"/>
  <c r="GA21" i="1" s="1"/>
  <c r="EF22" i="1"/>
  <c r="EG22" i="1"/>
  <c r="EH22" i="1"/>
  <c r="EI22" i="1"/>
  <c r="FT22" i="1" s="1"/>
  <c r="FX22" i="1" s="1"/>
  <c r="EJ22" i="1"/>
  <c r="EK22" i="1"/>
  <c r="EL22" i="1"/>
  <c r="EM22" i="1"/>
  <c r="FU22" i="1" s="1"/>
  <c r="FY22" i="1" s="1"/>
  <c r="EN22" i="1"/>
  <c r="EO22" i="1"/>
  <c r="EP22" i="1"/>
  <c r="EQ22" i="1"/>
  <c r="FV22" i="1" s="1"/>
  <c r="FZ22" i="1" s="1"/>
  <c r="ER22" i="1"/>
  <c r="ES22" i="1"/>
  <c r="ET22" i="1"/>
  <c r="EU22" i="1"/>
  <c r="FW22" i="1" s="1"/>
  <c r="GA22" i="1" s="1"/>
  <c r="EF23" i="1"/>
  <c r="EG23" i="1"/>
  <c r="EH23" i="1"/>
  <c r="EI23" i="1"/>
  <c r="FT23" i="1" s="1"/>
  <c r="FX23" i="1" s="1"/>
  <c r="EJ23" i="1"/>
  <c r="EK23" i="1"/>
  <c r="EL23" i="1"/>
  <c r="EM23" i="1"/>
  <c r="FU23" i="1" s="1"/>
  <c r="FY23" i="1" s="1"/>
  <c r="EN23" i="1"/>
  <c r="EO23" i="1"/>
  <c r="EP23" i="1"/>
  <c r="EQ23" i="1"/>
  <c r="FV23" i="1" s="1"/>
  <c r="FZ23" i="1" s="1"/>
  <c r="ER23" i="1"/>
  <c r="ES23" i="1"/>
  <c r="ET23" i="1"/>
  <c r="EU23" i="1"/>
  <c r="FW23" i="1" s="1"/>
  <c r="GA23" i="1" s="1"/>
  <c r="EF24" i="1"/>
  <c r="EG24" i="1"/>
  <c r="EH24" i="1"/>
  <c r="EI24" i="1"/>
  <c r="FT24" i="1" s="1"/>
  <c r="FX24" i="1" s="1"/>
  <c r="EJ24" i="1"/>
  <c r="EK24" i="1"/>
  <c r="EL24" i="1"/>
  <c r="EM24" i="1"/>
  <c r="FU24" i="1" s="1"/>
  <c r="FY24" i="1" s="1"/>
  <c r="EN24" i="1"/>
  <c r="EO24" i="1"/>
  <c r="EP24" i="1"/>
  <c r="EQ24" i="1"/>
  <c r="FV24" i="1" s="1"/>
  <c r="FZ24" i="1" s="1"/>
  <c r="ER24" i="1"/>
  <c r="ES24" i="1"/>
  <c r="ET24" i="1"/>
  <c r="EU24" i="1"/>
  <c r="FW24" i="1" s="1"/>
  <c r="GA24" i="1" s="1"/>
  <c r="EF25" i="1"/>
  <c r="EG25" i="1"/>
  <c r="EH25" i="1"/>
  <c r="EI25" i="1"/>
  <c r="FT25" i="1" s="1"/>
  <c r="FX25" i="1" s="1"/>
  <c r="EJ25" i="1"/>
  <c r="EK25" i="1"/>
  <c r="EL25" i="1"/>
  <c r="EM25" i="1"/>
  <c r="FU25" i="1" s="1"/>
  <c r="FY25" i="1" s="1"/>
  <c r="EN25" i="1"/>
  <c r="EO25" i="1"/>
  <c r="EP25" i="1"/>
  <c r="EQ25" i="1"/>
  <c r="FV25" i="1" s="1"/>
  <c r="FZ25" i="1" s="1"/>
  <c r="ER25" i="1"/>
  <c r="ES25" i="1"/>
  <c r="ET25" i="1"/>
  <c r="EU25" i="1"/>
  <c r="FW25" i="1" s="1"/>
  <c r="GA25" i="1" s="1"/>
  <c r="EF26" i="1"/>
  <c r="EG26" i="1"/>
  <c r="EH26" i="1"/>
  <c r="EI26" i="1"/>
  <c r="FT26" i="1" s="1"/>
  <c r="FX26" i="1" s="1"/>
  <c r="EJ26" i="1"/>
  <c r="EK26" i="1"/>
  <c r="EL26" i="1"/>
  <c r="EM26" i="1"/>
  <c r="FU26" i="1" s="1"/>
  <c r="FY26" i="1" s="1"/>
  <c r="EN26" i="1"/>
  <c r="EO26" i="1"/>
  <c r="EP26" i="1"/>
  <c r="EQ26" i="1"/>
  <c r="FV26" i="1" s="1"/>
  <c r="FZ26" i="1" s="1"/>
  <c r="ER26" i="1"/>
  <c r="ES26" i="1"/>
  <c r="ET26" i="1"/>
  <c r="EU26" i="1"/>
  <c r="FW26" i="1" s="1"/>
  <c r="GA26" i="1" s="1"/>
  <c r="EF27" i="1"/>
  <c r="EG27" i="1"/>
  <c r="EH27" i="1"/>
  <c r="EI27" i="1"/>
  <c r="FT27" i="1" s="1"/>
  <c r="FX27" i="1" s="1"/>
  <c r="EJ27" i="1"/>
  <c r="EK27" i="1"/>
  <c r="EL27" i="1"/>
  <c r="EM27" i="1"/>
  <c r="FU27" i="1" s="1"/>
  <c r="FY27" i="1" s="1"/>
  <c r="EN27" i="1"/>
  <c r="EO27" i="1"/>
  <c r="EP27" i="1"/>
  <c r="EQ27" i="1"/>
  <c r="FV27" i="1" s="1"/>
  <c r="FZ27" i="1" s="1"/>
  <c r="ER27" i="1"/>
  <c r="ES27" i="1"/>
  <c r="ET27" i="1"/>
  <c r="EU27" i="1"/>
  <c r="FW27" i="1" s="1"/>
  <c r="GA27" i="1" s="1"/>
  <c r="EF28" i="1"/>
  <c r="EG28" i="1"/>
  <c r="EH28" i="1"/>
  <c r="EI28" i="1"/>
  <c r="FT28" i="1" s="1"/>
  <c r="FX28" i="1" s="1"/>
  <c r="EJ28" i="1"/>
  <c r="EK28" i="1"/>
  <c r="EL28" i="1"/>
  <c r="EM28" i="1"/>
  <c r="FU28" i="1" s="1"/>
  <c r="FY28" i="1" s="1"/>
  <c r="EN28" i="1"/>
  <c r="EO28" i="1"/>
  <c r="EP28" i="1"/>
  <c r="EQ28" i="1"/>
  <c r="FV28" i="1" s="1"/>
  <c r="FZ28" i="1" s="1"/>
  <c r="ER28" i="1"/>
  <c r="ES28" i="1"/>
  <c r="ET28" i="1"/>
  <c r="EU28" i="1"/>
  <c r="FW28" i="1" s="1"/>
  <c r="GA28" i="1" s="1"/>
  <c r="EF29" i="1"/>
  <c r="EG29" i="1"/>
  <c r="EH29" i="1"/>
  <c r="EI29" i="1"/>
  <c r="FT29" i="1" s="1"/>
  <c r="FX29" i="1" s="1"/>
  <c r="EJ29" i="1"/>
  <c r="EK29" i="1"/>
  <c r="EL29" i="1"/>
  <c r="EM29" i="1"/>
  <c r="FU29" i="1" s="1"/>
  <c r="FY29" i="1" s="1"/>
  <c r="EN29" i="1"/>
  <c r="EO29" i="1"/>
  <c r="EP29" i="1"/>
  <c r="EQ29" i="1"/>
  <c r="FV29" i="1" s="1"/>
  <c r="FZ29" i="1" s="1"/>
  <c r="ER29" i="1"/>
  <c r="ES29" i="1"/>
  <c r="ET29" i="1"/>
  <c r="EU29" i="1"/>
  <c r="FW29" i="1" s="1"/>
  <c r="GA29" i="1" s="1"/>
  <c r="EF30" i="1"/>
  <c r="EG30" i="1"/>
  <c r="EH30" i="1"/>
  <c r="EI30" i="1"/>
  <c r="FT30" i="1" s="1"/>
  <c r="FX30" i="1" s="1"/>
  <c r="EJ30" i="1"/>
  <c r="EK30" i="1"/>
  <c r="EL30" i="1"/>
  <c r="EM30" i="1"/>
  <c r="FU30" i="1" s="1"/>
  <c r="FY30" i="1" s="1"/>
  <c r="EN30" i="1"/>
  <c r="EO30" i="1"/>
  <c r="EP30" i="1"/>
  <c r="EQ30" i="1"/>
  <c r="FV30" i="1" s="1"/>
  <c r="FZ30" i="1" s="1"/>
  <c r="ER30" i="1"/>
  <c r="ES30" i="1"/>
  <c r="ET30" i="1"/>
  <c r="EU30" i="1"/>
  <c r="FW30" i="1" s="1"/>
  <c r="GA30" i="1" s="1"/>
  <c r="EF31" i="1"/>
  <c r="EG31" i="1"/>
  <c r="EH31" i="1"/>
  <c r="EI31" i="1"/>
  <c r="FT31" i="1" s="1"/>
  <c r="FX31" i="1" s="1"/>
  <c r="EJ31" i="1"/>
  <c r="EK31" i="1"/>
  <c r="EL31" i="1"/>
  <c r="EM31" i="1"/>
  <c r="FU31" i="1" s="1"/>
  <c r="FY31" i="1" s="1"/>
  <c r="EN31" i="1"/>
  <c r="EO31" i="1"/>
  <c r="EP31" i="1"/>
  <c r="EQ31" i="1"/>
  <c r="FV31" i="1" s="1"/>
  <c r="FZ31" i="1" s="1"/>
  <c r="ER31" i="1"/>
  <c r="ES31" i="1"/>
  <c r="ET31" i="1"/>
  <c r="EU31" i="1"/>
  <c r="FW31" i="1" s="1"/>
  <c r="GA31" i="1" s="1"/>
  <c r="EF32" i="1"/>
  <c r="EG32" i="1"/>
  <c r="EH32" i="1"/>
  <c r="EI32" i="1"/>
  <c r="FT32" i="1" s="1"/>
  <c r="FX32" i="1" s="1"/>
  <c r="EJ32" i="1"/>
  <c r="EK32" i="1"/>
  <c r="EL32" i="1"/>
  <c r="EM32" i="1"/>
  <c r="FU32" i="1" s="1"/>
  <c r="FY32" i="1" s="1"/>
  <c r="EN32" i="1"/>
  <c r="EO32" i="1"/>
  <c r="EP32" i="1"/>
  <c r="EQ32" i="1"/>
  <c r="FV32" i="1" s="1"/>
  <c r="FZ32" i="1" s="1"/>
  <c r="ER32" i="1"/>
  <c r="ES32" i="1"/>
  <c r="ET32" i="1"/>
  <c r="EU32" i="1"/>
  <c r="FW32" i="1" s="1"/>
  <c r="GA32" i="1" s="1"/>
  <c r="EF33" i="1"/>
  <c r="EG33" i="1"/>
  <c r="EH33" i="1"/>
  <c r="EI33" i="1"/>
  <c r="FT33" i="1" s="1"/>
  <c r="FX33" i="1" s="1"/>
  <c r="EJ33" i="1"/>
  <c r="EK33" i="1"/>
  <c r="EL33" i="1"/>
  <c r="EM33" i="1"/>
  <c r="FU33" i="1" s="1"/>
  <c r="FY33" i="1" s="1"/>
  <c r="EN33" i="1"/>
  <c r="EO33" i="1"/>
  <c r="EP33" i="1"/>
  <c r="EQ33" i="1"/>
  <c r="FV33" i="1" s="1"/>
  <c r="FZ33" i="1" s="1"/>
  <c r="ER33" i="1"/>
  <c r="ES33" i="1"/>
  <c r="ET33" i="1"/>
  <c r="EU33" i="1"/>
  <c r="FW33" i="1" s="1"/>
  <c r="GA33" i="1" s="1"/>
  <c r="EF34" i="1"/>
  <c r="EG34" i="1"/>
  <c r="EH34" i="1"/>
  <c r="EI34" i="1"/>
  <c r="FT34" i="1" s="1"/>
  <c r="FX34" i="1" s="1"/>
  <c r="EJ34" i="1"/>
  <c r="EK34" i="1"/>
  <c r="EL34" i="1"/>
  <c r="EM34" i="1"/>
  <c r="FU34" i="1" s="1"/>
  <c r="FY34" i="1" s="1"/>
  <c r="EN34" i="1"/>
  <c r="EO34" i="1"/>
  <c r="EP34" i="1"/>
  <c r="EQ34" i="1"/>
  <c r="FV34" i="1" s="1"/>
  <c r="FZ34" i="1" s="1"/>
  <c r="ER34" i="1"/>
  <c r="ES34" i="1"/>
  <c r="ET34" i="1"/>
  <c r="EU34" i="1"/>
  <c r="FW34" i="1" s="1"/>
  <c r="GA34" i="1" s="1"/>
  <c r="EF35" i="1"/>
  <c r="EG35" i="1"/>
  <c r="EH35" i="1"/>
  <c r="EI35" i="1"/>
  <c r="FT35" i="1" s="1"/>
  <c r="FX35" i="1" s="1"/>
  <c r="EJ35" i="1"/>
  <c r="EK35" i="1"/>
  <c r="EL35" i="1"/>
  <c r="EM35" i="1"/>
  <c r="FU35" i="1" s="1"/>
  <c r="FY35" i="1" s="1"/>
  <c r="EN35" i="1"/>
  <c r="EO35" i="1"/>
  <c r="EP35" i="1"/>
  <c r="EQ35" i="1"/>
  <c r="FV35" i="1" s="1"/>
  <c r="FZ35" i="1" s="1"/>
  <c r="ER35" i="1"/>
  <c r="ES35" i="1"/>
  <c r="ET35" i="1"/>
  <c r="EU35" i="1"/>
  <c r="FW35" i="1" s="1"/>
  <c r="GA35" i="1" s="1"/>
  <c r="EF36" i="1"/>
  <c r="EG36" i="1"/>
  <c r="EH36" i="1"/>
  <c r="EI36" i="1"/>
  <c r="FT36" i="1" s="1"/>
  <c r="FX36" i="1" s="1"/>
  <c r="EJ36" i="1"/>
  <c r="EK36" i="1"/>
  <c r="EL36" i="1"/>
  <c r="EM36" i="1"/>
  <c r="FU36" i="1" s="1"/>
  <c r="FY36" i="1" s="1"/>
  <c r="EN36" i="1"/>
  <c r="EO36" i="1"/>
  <c r="EP36" i="1"/>
  <c r="EQ36" i="1"/>
  <c r="FV36" i="1" s="1"/>
  <c r="FZ36" i="1" s="1"/>
  <c r="ER36" i="1"/>
  <c r="ES36" i="1"/>
  <c r="ET36" i="1"/>
  <c r="EU36" i="1"/>
  <c r="FW36" i="1" s="1"/>
  <c r="GA36" i="1" s="1"/>
  <c r="EF37" i="1"/>
  <c r="EG37" i="1"/>
  <c r="EH37" i="1"/>
  <c r="EI37" i="1"/>
  <c r="FT37" i="1" s="1"/>
  <c r="FX37" i="1" s="1"/>
  <c r="EJ37" i="1"/>
  <c r="EK37" i="1"/>
  <c r="EL37" i="1"/>
  <c r="EM37" i="1"/>
  <c r="FU37" i="1" s="1"/>
  <c r="FY37" i="1" s="1"/>
  <c r="EN37" i="1"/>
  <c r="EO37" i="1"/>
  <c r="EP37" i="1"/>
  <c r="EQ37" i="1"/>
  <c r="FV37" i="1" s="1"/>
  <c r="FZ37" i="1" s="1"/>
  <c r="ER37" i="1"/>
  <c r="ES37" i="1"/>
  <c r="ET37" i="1"/>
  <c r="EU37" i="1"/>
  <c r="FW37" i="1" s="1"/>
  <c r="GA37" i="1" s="1"/>
  <c r="EF38" i="1"/>
  <c r="EG38" i="1"/>
  <c r="EH38" i="1"/>
  <c r="EI38" i="1"/>
  <c r="FT38" i="1" s="1"/>
  <c r="FX38" i="1" s="1"/>
  <c r="EJ38" i="1"/>
  <c r="EK38" i="1"/>
  <c r="EL38" i="1"/>
  <c r="EM38" i="1"/>
  <c r="FU38" i="1" s="1"/>
  <c r="FY38" i="1" s="1"/>
  <c r="EN38" i="1"/>
  <c r="EO38" i="1"/>
  <c r="EP38" i="1"/>
  <c r="EQ38" i="1"/>
  <c r="FV38" i="1" s="1"/>
  <c r="FZ38" i="1" s="1"/>
  <c r="ER38" i="1"/>
  <c r="ES38" i="1"/>
  <c r="ET38" i="1"/>
  <c r="EU38" i="1"/>
  <c r="FW38" i="1" s="1"/>
  <c r="GA38" i="1" s="1"/>
  <c r="EF39" i="1"/>
  <c r="EG39" i="1"/>
  <c r="EH39" i="1"/>
  <c r="EI39" i="1"/>
  <c r="FT39" i="1" s="1"/>
  <c r="FX39" i="1" s="1"/>
  <c r="EJ39" i="1"/>
  <c r="EK39" i="1"/>
  <c r="EL39" i="1"/>
  <c r="EM39" i="1"/>
  <c r="FU39" i="1" s="1"/>
  <c r="FY39" i="1" s="1"/>
  <c r="EN39" i="1"/>
  <c r="EO39" i="1"/>
  <c r="EP39" i="1"/>
  <c r="EQ39" i="1"/>
  <c r="FV39" i="1" s="1"/>
  <c r="FZ39" i="1" s="1"/>
  <c r="ER39" i="1"/>
  <c r="ES39" i="1"/>
  <c r="ET39" i="1"/>
  <c r="EU39" i="1"/>
  <c r="FW39" i="1" s="1"/>
  <c r="GA39" i="1" s="1"/>
  <c r="EF40" i="1"/>
  <c r="EG40" i="1"/>
  <c r="EH40" i="1"/>
  <c r="EI40" i="1"/>
  <c r="FT40" i="1" s="1"/>
  <c r="FX40" i="1" s="1"/>
  <c r="EJ40" i="1"/>
  <c r="EK40" i="1"/>
  <c r="EL40" i="1"/>
  <c r="EM40" i="1"/>
  <c r="FU40" i="1" s="1"/>
  <c r="FY40" i="1" s="1"/>
  <c r="EN40" i="1"/>
  <c r="EO40" i="1"/>
  <c r="EP40" i="1"/>
  <c r="EQ40" i="1"/>
  <c r="FV40" i="1" s="1"/>
  <c r="FZ40" i="1" s="1"/>
  <c r="ER40" i="1"/>
  <c r="ES40" i="1"/>
  <c r="ET40" i="1"/>
  <c r="EU40" i="1"/>
  <c r="FW40" i="1" s="1"/>
  <c r="GA40" i="1" s="1"/>
  <c r="EF41" i="1"/>
  <c r="EG41" i="1"/>
  <c r="EH41" i="1"/>
  <c r="EI41" i="1"/>
  <c r="FT41" i="1" s="1"/>
  <c r="FX41" i="1" s="1"/>
  <c r="EJ41" i="1"/>
  <c r="EK41" i="1"/>
  <c r="EL41" i="1"/>
  <c r="EM41" i="1"/>
  <c r="FU41" i="1" s="1"/>
  <c r="FY41" i="1" s="1"/>
  <c r="EN41" i="1"/>
  <c r="EO41" i="1"/>
  <c r="EP41" i="1"/>
  <c r="EQ41" i="1"/>
  <c r="FV41" i="1" s="1"/>
  <c r="FZ41" i="1" s="1"/>
  <c r="ER41" i="1"/>
  <c r="ES41" i="1"/>
  <c r="ET41" i="1"/>
  <c r="EU41" i="1"/>
  <c r="FW41" i="1" s="1"/>
  <c r="GA41" i="1" s="1"/>
  <c r="EF42" i="1"/>
  <c r="EG42" i="1"/>
  <c r="EH42" i="1"/>
  <c r="EI42" i="1"/>
  <c r="FT42" i="1" s="1"/>
  <c r="FX42" i="1" s="1"/>
  <c r="EJ42" i="1"/>
  <c r="EK42" i="1"/>
  <c r="EL42" i="1"/>
  <c r="EM42" i="1"/>
  <c r="FU42" i="1" s="1"/>
  <c r="FY42" i="1" s="1"/>
  <c r="EN42" i="1"/>
  <c r="EO42" i="1"/>
  <c r="EP42" i="1"/>
  <c r="EQ42" i="1"/>
  <c r="FV42" i="1" s="1"/>
  <c r="FZ42" i="1" s="1"/>
  <c r="ER42" i="1"/>
  <c r="ES42" i="1"/>
  <c r="ET42" i="1"/>
  <c r="EU42" i="1"/>
  <c r="FW42" i="1" s="1"/>
  <c r="GA42" i="1" s="1"/>
  <c r="EF43" i="1"/>
  <c r="EG43" i="1"/>
  <c r="EH43" i="1"/>
  <c r="EI43" i="1"/>
  <c r="FT43" i="1" s="1"/>
  <c r="FX43" i="1" s="1"/>
  <c r="EJ43" i="1"/>
  <c r="EK43" i="1"/>
  <c r="EL43" i="1"/>
  <c r="EM43" i="1"/>
  <c r="FU43" i="1" s="1"/>
  <c r="FY43" i="1" s="1"/>
  <c r="EN43" i="1"/>
  <c r="EO43" i="1"/>
  <c r="EP43" i="1"/>
  <c r="EQ43" i="1"/>
  <c r="FV43" i="1" s="1"/>
  <c r="FZ43" i="1" s="1"/>
  <c r="ER43" i="1"/>
  <c r="ES43" i="1"/>
  <c r="ET43" i="1"/>
  <c r="EU43" i="1"/>
  <c r="FW43" i="1" s="1"/>
  <c r="GA43" i="1" s="1"/>
  <c r="EF44" i="1"/>
  <c r="EG44" i="1"/>
  <c r="EH44" i="1"/>
  <c r="EI44" i="1"/>
  <c r="FT44" i="1" s="1"/>
  <c r="FX44" i="1" s="1"/>
  <c r="EJ44" i="1"/>
  <c r="EK44" i="1"/>
  <c r="EL44" i="1"/>
  <c r="EM44" i="1"/>
  <c r="FU44" i="1" s="1"/>
  <c r="FY44" i="1" s="1"/>
  <c r="EN44" i="1"/>
  <c r="EO44" i="1"/>
  <c r="EP44" i="1"/>
  <c r="EQ44" i="1"/>
  <c r="FV44" i="1" s="1"/>
  <c r="FZ44" i="1" s="1"/>
  <c r="ER44" i="1"/>
  <c r="ES44" i="1"/>
  <c r="ET44" i="1"/>
  <c r="EU44" i="1"/>
  <c r="FW44" i="1" s="1"/>
  <c r="GA44" i="1" s="1"/>
  <c r="EF45" i="1"/>
  <c r="EG45" i="1"/>
  <c r="EH45" i="1"/>
  <c r="EI45" i="1"/>
  <c r="FT45" i="1" s="1"/>
  <c r="FX45" i="1" s="1"/>
  <c r="EJ45" i="1"/>
  <c r="EK45" i="1"/>
  <c r="EL45" i="1"/>
  <c r="EM45" i="1"/>
  <c r="FU45" i="1" s="1"/>
  <c r="FY45" i="1" s="1"/>
  <c r="EN45" i="1"/>
  <c r="EO45" i="1"/>
  <c r="EP45" i="1"/>
  <c r="EQ45" i="1"/>
  <c r="FV45" i="1" s="1"/>
  <c r="FZ45" i="1" s="1"/>
  <c r="ER45" i="1"/>
  <c r="ES45" i="1"/>
  <c r="ET45" i="1"/>
  <c r="EU45" i="1"/>
  <c r="FW45" i="1" s="1"/>
  <c r="GA45" i="1" s="1"/>
  <c r="EF46" i="1"/>
  <c r="EG46" i="1"/>
  <c r="EH46" i="1"/>
  <c r="EI46" i="1"/>
  <c r="FT46" i="1" s="1"/>
  <c r="FX46" i="1" s="1"/>
  <c r="EJ46" i="1"/>
  <c r="EK46" i="1"/>
  <c r="EL46" i="1"/>
  <c r="EM46" i="1"/>
  <c r="FU46" i="1" s="1"/>
  <c r="FY46" i="1" s="1"/>
  <c r="EN46" i="1"/>
  <c r="EO46" i="1"/>
  <c r="EP46" i="1"/>
  <c r="EQ46" i="1"/>
  <c r="FV46" i="1" s="1"/>
  <c r="FZ46" i="1" s="1"/>
  <c r="ER46" i="1"/>
  <c r="ES46" i="1"/>
  <c r="ET46" i="1"/>
  <c r="EU46" i="1"/>
  <c r="FW46" i="1" s="1"/>
  <c r="GA46" i="1" s="1"/>
  <c r="EF47" i="1"/>
  <c r="EG47" i="1"/>
  <c r="EH47" i="1"/>
  <c r="EI47" i="1"/>
  <c r="FT47" i="1" s="1"/>
  <c r="FX47" i="1" s="1"/>
  <c r="EJ47" i="1"/>
  <c r="EK47" i="1"/>
  <c r="EL47" i="1"/>
  <c r="EM47" i="1"/>
  <c r="FU47" i="1" s="1"/>
  <c r="FY47" i="1" s="1"/>
  <c r="EN47" i="1"/>
  <c r="EO47" i="1"/>
  <c r="EP47" i="1"/>
  <c r="EQ47" i="1"/>
  <c r="FV47" i="1" s="1"/>
  <c r="FZ47" i="1" s="1"/>
  <c r="ER47" i="1"/>
  <c r="ES47" i="1"/>
  <c r="ET47" i="1"/>
  <c r="EU47" i="1"/>
  <c r="FW47" i="1" s="1"/>
  <c r="GA47" i="1" s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F49" i="1"/>
  <c r="EG49" i="1"/>
  <c r="EH49" i="1"/>
  <c r="EI49" i="1"/>
  <c r="FT49" i="1" s="1"/>
  <c r="FX49" i="1" s="1"/>
  <c r="EJ49" i="1"/>
  <c r="EK49" i="1"/>
  <c r="EL49" i="1"/>
  <c r="EM49" i="1"/>
  <c r="FU49" i="1" s="1"/>
  <c r="FY49" i="1" s="1"/>
  <c r="EN49" i="1"/>
  <c r="EO49" i="1"/>
  <c r="EP49" i="1"/>
  <c r="EQ49" i="1"/>
  <c r="FV49" i="1" s="1"/>
  <c r="FZ49" i="1" s="1"/>
  <c r="ER49" i="1"/>
  <c r="ES49" i="1"/>
  <c r="ET49" i="1"/>
  <c r="EU49" i="1"/>
  <c r="FW49" i="1" s="1"/>
  <c r="GA49" i="1" s="1"/>
  <c r="EF50" i="1"/>
  <c r="EG50" i="1"/>
  <c r="EH50" i="1"/>
  <c r="EI50" i="1"/>
  <c r="FT50" i="1" s="1"/>
  <c r="FX50" i="1" s="1"/>
  <c r="EJ50" i="1"/>
  <c r="EK50" i="1"/>
  <c r="EL50" i="1"/>
  <c r="EM50" i="1"/>
  <c r="FU50" i="1" s="1"/>
  <c r="FY50" i="1" s="1"/>
  <c r="EN50" i="1"/>
  <c r="EO50" i="1"/>
  <c r="EP50" i="1"/>
  <c r="EQ50" i="1"/>
  <c r="FV50" i="1" s="1"/>
  <c r="FZ50" i="1" s="1"/>
  <c r="ER50" i="1"/>
  <c r="ES50" i="1"/>
  <c r="ET50" i="1"/>
  <c r="EU50" i="1"/>
  <c r="FW50" i="1" s="1"/>
  <c r="GA50" i="1" s="1"/>
  <c r="EF51" i="1"/>
  <c r="EG51" i="1"/>
  <c r="EH51" i="1"/>
  <c r="EI51" i="1"/>
  <c r="FT51" i="1" s="1"/>
  <c r="FX51" i="1" s="1"/>
  <c r="EJ51" i="1"/>
  <c r="EK51" i="1"/>
  <c r="EL51" i="1"/>
  <c r="EM51" i="1"/>
  <c r="FU51" i="1" s="1"/>
  <c r="FY51" i="1" s="1"/>
  <c r="EN51" i="1"/>
  <c r="EO51" i="1"/>
  <c r="EP51" i="1"/>
  <c r="EQ51" i="1"/>
  <c r="FV51" i="1" s="1"/>
  <c r="FZ51" i="1" s="1"/>
  <c r="ER51" i="1"/>
  <c r="ES51" i="1"/>
  <c r="ET51" i="1"/>
  <c r="EU51" i="1"/>
  <c r="FW51" i="1" s="1"/>
  <c r="GA51" i="1" s="1"/>
  <c r="EF52" i="1"/>
  <c r="EG52" i="1"/>
  <c r="EH52" i="1"/>
  <c r="EI52" i="1"/>
  <c r="FT52" i="1" s="1"/>
  <c r="FX52" i="1" s="1"/>
  <c r="EJ52" i="1"/>
  <c r="EK52" i="1"/>
  <c r="EL52" i="1"/>
  <c r="EM52" i="1"/>
  <c r="FU52" i="1" s="1"/>
  <c r="FY52" i="1" s="1"/>
  <c r="EN52" i="1"/>
  <c r="EO52" i="1"/>
  <c r="EP52" i="1"/>
  <c r="EQ52" i="1"/>
  <c r="FV52" i="1" s="1"/>
  <c r="FZ52" i="1" s="1"/>
  <c r="ER52" i="1"/>
  <c r="ES52" i="1"/>
  <c r="ET52" i="1"/>
  <c r="EU52" i="1"/>
  <c r="FW52" i="1" s="1"/>
  <c r="GA52" i="1" s="1"/>
  <c r="EF53" i="1"/>
  <c r="EG53" i="1"/>
  <c r="EH53" i="1"/>
  <c r="EI53" i="1"/>
  <c r="FT53" i="1" s="1"/>
  <c r="FX53" i="1" s="1"/>
  <c r="EJ53" i="1"/>
  <c r="EK53" i="1"/>
  <c r="EL53" i="1"/>
  <c r="EM53" i="1"/>
  <c r="FU53" i="1" s="1"/>
  <c r="FY53" i="1" s="1"/>
  <c r="EN53" i="1"/>
  <c r="EO53" i="1"/>
  <c r="EP53" i="1"/>
  <c r="EQ53" i="1"/>
  <c r="FV53" i="1" s="1"/>
  <c r="FZ53" i="1" s="1"/>
  <c r="ER53" i="1"/>
  <c r="ES53" i="1"/>
  <c r="ET53" i="1"/>
  <c r="EU53" i="1"/>
  <c r="FW53" i="1" s="1"/>
  <c r="GA53" i="1" s="1"/>
  <c r="EU3" i="1"/>
  <c r="FW3" i="1" s="1"/>
  <c r="ET3" i="1"/>
  <c r="ES3" i="1"/>
  <c r="ER3" i="1"/>
  <c r="EQ3" i="1"/>
  <c r="FV3" i="1" s="1"/>
  <c r="FZ3" i="1" s="1"/>
  <c r="EP3" i="1"/>
  <c r="EO3" i="1"/>
  <c r="EN3" i="1"/>
  <c r="EM3" i="1"/>
  <c r="FU3" i="1" s="1"/>
  <c r="FY3" i="1" s="1"/>
  <c r="EL3" i="1"/>
  <c r="EK3" i="1"/>
  <c r="EJ3" i="1"/>
  <c r="EI3" i="1"/>
  <c r="FT3" i="1" s="1"/>
  <c r="FX3" i="1" s="1"/>
  <c r="EH3" i="1"/>
  <c r="EG3" i="1"/>
  <c r="EF3" i="1"/>
  <c r="AL3" i="1"/>
  <c r="FT48" i="1" l="1"/>
  <c r="FX48" i="1" s="1"/>
  <c r="FF48" i="1"/>
  <c r="FN48" i="1"/>
  <c r="EX48" i="1"/>
  <c r="FW48" i="1"/>
  <c r="GA48" i="1" s="1"/>
  <c r="FV48" i="1"/>
  <c r="FZ48" i="1" s="1"/>
  <c r="FL48" i="1"/>
  <c r="FD48" i="1"/>
  <c r="EV48" i="1"/>
  <c r="FY48" i="1"/>
  <c r="FU48" i="1"/>
  <c r="FM49" i="1"/>
  <c r="FG48" i="1"/>
  <c r="FO48" i="1"/>
  <c r="EY48" i="1"/>
  <c r="FM48" i="1"/>
  <c r="FE48" i="1"/>
  <c r="EW48" i="1"/>
  <c r="GA3" i="1"/>
  <c r="AL56" i="1"/>
  <c r="FD4" i="1"/>
  <c r="FE4" i="1"/>
  <c r="FF4" i="1"/>
  <c r="FG4" i="1"/>
  <c r="FD5" i="1"/>
  <c r="FE5" i="1"/>
  <c r="FF5" i="1"/>
  <c r="FG5" i="1"/>
  <c r="FD6" i="1"/>
  <c r="FE6" i="1"/>
  <c r="FF6" i="1"/>
  <c r="FG6" i="1"/>
  <c r="FD7" i="1"/>
  <c r="FE7" i="1"/>
  <c r="FF7" i="1"/>
  <c r="FG7" i="1"/>
  <c r="FD8" i="1"/>
  <c r="FE8" i="1"/>
  <c r="FF8" i="1"/>
  <c r="FG8" i="1"/>
  <c r="FD9" i="1"/>
  <c r="FE9" i="1"/>
  <c r="FF9" i="1"/>
  <c r="FG9" i="1"/>
  <c r="FD10" i="1"/>
  <c r="FE10" i="1"/>
  <c r="FF10" i="1"/>
  <c r="FG10" i="1"/>
  <c r="FD11" i="1"/>
  <c r="FE11" i="1"/>
  <c r="FF11" i="1"/>
  <c r="FG11" i="1"/>
  <c r="FD12" i="1"/>
  <c r="FE12" i="1"/>
  <c r="FF12" i="1"/>
  <c r="FG12" i="1"/>
  <c r="FD13" i="1"/>
  <c r="FE13" i="1"/>
  <c r="FF13" i="1"/>
  <c r="FG13" i="1"/>
  <c r="FD14" i="1"/>
  <c r="FE14" i="1"/>
  <c r="FF14" i="1"/>
  <c r="FG14" i="1"/>
  <c r="FD15" i="1"/>
  <c r="FE15" i="1"/>
  <c r="FF15" i="1"/>
  <c r="FG15" i="1"/>
  <c r="FD16" i="1"/>
  <c r="FE16" i="1"/>
  <c r="FF16" i="1"/>
  <c r="FG16" i="1"/>
  <c r="FD17" i="1"/>
  <c r="FE17" i="1"/>
  <c r="FF17" i="1"/>
  <c r="FG17" i="1"/>
  <c r="FD18" i="1"/>
  <c r="FE18" i="1"/>
  <c r="FF18" i="1"/>
  <c r="FG18" i="1"/>
  <c r="FD19" i="1"/>
  <c r="FE19" i="1"/>
  <c r="FF19" i="1"/>
  <c r="FG19" i="1"/>
  <c r="FD20" i="1"/>
  <c r="FE20" i="1"/>
  <c r="FF20" i="1"/>
  <c r="FG20" i="1"/>
  <c r="FD21" i="1"/>
  <c r="FE21" i="1"/>
  <c r="FF21" i="1"/>
  <c r="FG21" i="1"/>
  <c r="FD22" i="1"/>
  <c r="FE22" i="1"/>
  <c r="FF22" i="1"/>
  <c r="FG22" i="1"/>
  <c r="FD23" i="1"/>
  <c r="FE23" i="1"/>
  <c r="FF23" i="1"/>
  <c r="FG23" i="1"/>
  <c r="FD24" i="1"/>
  <c r="FE24" i="1"/>
  <c r="FF24" i="1"/>
  <c r="FG24" i="1"/>
  <c r="FD25" i="1"/>
  <c r="FE25" i="1"/>
  <c r="FF25" i="1"/>
  <c r="FG25" i="1"/>
  <c r="FD26" i="1"/>
  <c r="FE26" i="1"/>
  <c r="FF26" i="1"/>
  <c r="FG26" i="1"/>
  <c r="FD27" i="1"/>
  <c r="FE27" i="1"/>
  <c r="FF27" i="1"/>
  <c r="FG27" i="1"/>
  <c r="FD28" i="1"/>
  <c r="FE28" i="1"/>
  <c r="FF28" i="1"/>
  <c r="FG28" i="1"/>
  <c r="FD29" i="1"/>
  <c r="FE29" i="1"/>
  <c r="FF29" i="1"/>
  <c r="FG29" i="1"/>
  <c r="FD30" i="1"/>
  <c r="FE30" i="1"/>
  <c r="FF30" i="1"/>
  <c r="FG30" i="1"/>
  <c r="FD31" i="1"/>
  <c r="FE31" i="1"/>
  <c r="FF31" i="1"/>
  <c r="FG31" i="1"/>
  <c r="FD32" i="1"/>
  <c r="FE32" i="1"/>
  <c r="FF32" i="1"/>
  <c r="FG32" i="1"/>
  <c r="FD33" i="1"/>
  <c r="FE33" i="1"/>
  <c r="FF33" i="1"/>
  <c r="FG33" i="1"/>
  <c r="FD34" i="1"/>
  <c r="FE34" i="1"/>
  <c r="FF34" i="1"/>
  <c r="FG34" i="1"/>
  <c r="FD35" i="1"/>
  <c r="FE35" i="1"/>
  <c r="FF35" i="1"/>
  <c r="FG35" i="1"/>
  <c r="FD36" i="1"/>
  <c r="FE36" i="1"/>
  <c r="FF36" i="1"/>
  <c r="FG36" i="1"/>
  <c r="FD37" i="1"/>
  <c r="FE37" i="1"/>
  <c r="FF37" i="1"/>
  <c r="FG37" i="1"/>
  <c r="FD38" i="1"/>
  <c r="FE38" i="1"/>
  <c r="FF38" i="1"/>
  <c r="FG38" i="1"/>
  <c r="FD39" i="1"/>
  <c r="FE39" i="1"/>
  <c r="FF39" i="1"/>
  <c r="FG39" i="1"/>
  <c r="FD40" i="1"/>
  <c r="FE40" i="1"/>
  <c r="FF40" i="1"/>
  <c r="FG40" i="1"/>
  <c r="FD41" i="1"/>
  <c r="FE41" i="1"/>
  <c r="FF41" i="1"/>
  <c r="FG41" i="1"/>
  <c r="FD42" i="1"/>
  <c r="FE42" i="1"/>
  <c r="FF42" i="1"/>
  <c r="FG42" i="1"/>
  <c r="FD43" i="1"/>
  <c r="FE43" i="1"/>
  <c r="FF43" i="1"/>
  <c r="FG43" i="1"/>
  <c r="FD44" i="1"/>
  <c r="FE44" i="1"/>
  <c r="FF44" i="1"/>
  <c r="FG44" i="1"/>
  <c r="FD45" i="1"/>
  <c r="FE45" i="1"/>
  <c r="FF45" i="1"/>
  <c r="FG45" i="1"/>
  <c r="FD46" i="1"/>
  <c r="FE46" i="1"/>
  <c r="FF46" i="1"/>
  <c r="FG46" i="1"/>
  <c r="FD47" i="1"/>
  <c r="FE47" i="1"/>
  <c r="FF47" i="1"/>
  <c r="FG47" i="1"/>
  <c r="FD49" i="1"/>
  <c r="FE49" i="1"/>
  <c r="FF49" i="1"/>
  <c r="FG49" i="1"/>
  <c r="FD50" i="1"/>
  <c r="FE50" i="1"/>
  <c r="FF50" i="1"/>
  <c r="FG50" i="1"/>
  <c r="FD51" i="1"/>
  <c r="FE51" i="1"/>
  <c r="FF51" i="1"/>
  <c r="FG51" i="1"/>
  <c r="FD52" i="1"/>
  <c r="FE52" i="1"/>
  <c r="FF52" i="1"/>
  <c r="FG52" i="1"/>
  <c r="FD53" i="1"/>
  <c r="FE53" i="1"/>
  <c r="FF53" i="1"/>
  <c r="FG53" i="1"/>
  <c r="FL4" i="1"/>
  <c r="FM4" i="1"/>
  <c r="FN4" i="1"/>
  <c r="FO4" i="1"/>
  <c r="FL5" i="1"/>
  <c r="FM5" i="1"/>
  <c r="FN5" i="1"/>
  <c r="FO5" i="1"/>
  <c r="FL6" i="1"/>
  <c r="FM6" i="1"/>
  <c r="FN6" i="1"/>
  <c r="FO6" i="1"/>
  <c r="FL7" i="1"/>
  <c r="FM7" i="1"/>
  <c r="FN7" i="1"/>
  <c r="FO7" i="1"/>
  <c r="FL8" i="1"/>
  <c r="FM8" i="1"/>
  <c r="FN8" i="1"/>
  <c r="FO8" i="1"/>
  <c r="FL9" i="1"/>
  <c r="FM9" i="1"/>
  <c r="FN9" i="1"/>
  <c r="FO9" i="1"/>
  <c r="FL10" i="1"/>
  <c r="FM10" i="1"/>
  <c r="FN10" i="1"/>
  <c r="FO10" i="1"/>
  <c r="FL11" i="1"/>
  <c r="FM11" i="1"/>
  <c r="FN11" i="1"/>
  <c r="FO11" i="1"/>
  <c r="FL12" i="1"/>
  <c r="FM12" i="1"/>
  <c r="FN12" i="1"/>
  <c r="FO12" i="1"/>
  <c r="FL13" i="1"/>
  <c r="FM13" i="1"/>
  <c r="FN13" i="1"/>
  <c r="FO13" i="1"/>
  <c r="FL14" i="1"/>
  <c r="FM14" i="1"/>
  <c r="FN14" i="1"/>
  <c r="FO14" i="1"/>
  <c r="FL15" i="1"/>
  <c r="FM15" i="1"/>
  <c r="FN15" i="1"/>
  <c r="FO15" i="1"/>
  <c r="FL16" i="1"/>
  <c r="FM16" i="1"/>
  <c r="FN16" i="1"/>
  <c r="FO16" i="1"/>
  <c r="FL17" i="1"/>
  <c r="FM17" i="1"/>
  <c r="FN17" i="1"/>
  <c r="FO17" i="1"/>
  <c r="FL18" i="1"/>
  <c r="FM18" i="1"/>
  <c r="FN18" i="1"/>
  <c r="FO18" i="1"/>
  <c r="FL19" i="1"/>
  <c r="FM19" i="1"/>
  <c r="FN19" i="1"/>
  <c r="FO19" i="1"/>
  <c r="FL20" i="1"/>
  <c r="FM20" i="1"/>
  <c r="FN20" i="1"/>
  <c r="FO20" i="1"/>
  <c r="FL21" i="1"/>
  <c r="FM21" i="1"/>
  <c r="FN21" i="1"/>
  <c r="FO21" i="1"/>
  <c r="FL22" i="1"/>
  <c r="FM22" i="1"/>
  <c r="FN22" i="1"/>
  <c r="FO22" i="1"/>
  <c r="FL23" i="1"/>
  <c r="FM23" i="1"/>
  <c r="FN23" i="1"/>
  <c r="FO23" i="1"/>
  <c r="FL24" i="1"/>
  <c r="FM24" i="1"/>
  <c r="FN24" i="1"/>
  <c r="FO24" i="1"/>
  <c r="FL25" i="1"/>
  <c r="FM25" i="1"/>
  <c r="FN25" i="1"/>
  <c r="FO25" i="1"/>
  <c r="FL26" i="1"/>
  <c r="FM26" i="1"/>
  <c r="FN26" i="1"/>
  <c r="FO26" i="1"/>
  <c r="FL27" i="1"/>
  <c r="FM27" i="1"/>
  <c r="FN27" i="1"/>
  <c r="FO27" i="1"/>
  <c r="FL28" i="1"/>
  <c r="FM28" i="1"/>
  <c r="FN28" i="1"/>
  <c r="FO28" i="1"/>
  <c r="FL29" i="1"/>
  <c r="FM29" i="1"/>
  <c r="FN29" i="1"/>
  <c r="FO29" i="1"/>
  <c r="FL30" i="1"/>
  <c r="FM30" i="1"/>
  <c r="FN30" i="1"/>
  <c r="FO30" i="1"/>
  <c r="FL31" i="1"/>
  <c r="FM31" i="1"/>
  <c r="FN31" i="1"/>
  <c r="FO31" i="1"/>
  <c r="FL32" i="1"/>
  <c r="FM32" i="1"/>
  <c r="FN32" i="1"/>
  <c r="FO32" i="1"/>
  <c r="FL33" i="1"/>
  <c r="FM33" i="1"/>
  <c r="FN33" i="1"/>
  <c r="FO33" i="1"/>
  <c r="FL34" i="1"/>
  <c r="FM34" i="1"/>
  <c r="FN34" i="1"/>
  <c r="FO34" i="1"/>
  <c r="FL35" i="1"/>
  <c r="FM35" i="1"/>
  <c r="FN35" i="1"/>
  <c r="FO35" i="1"/>
  <c r="FL36" i="1"/>
  <c r="FM36" i="1"/>
  <c r="FN36" i="1"/>
  <c r="FO36" i="1"/>
  <c r="FL37" i="1"/>
  <c r="FM37" i="1"/>
  <c r="FN37" i="1"/>
  <c r="FO37" i="1"/>
  <c r="FL38" i="1"/>
  <c r="FM38" i="1"/>
  <c r="FN38" i="1"/>
  <c r="FO38" i="1"/>
  <c r="FL39" i="1"/>
  <c r="FM39" i="1"/>
  <c r="FN39" i="1"/>
  <c r="FO39" i="1"/>
  <c r="FL40" i="1"/>
  <c r="FM40" i="1"/>
  <c r="FN40" i="1"/>
  <c r="FO40" i="1"/>
  <c r="FL41" i="1"/>
  <c r="FM41" i="1"/>
  <c r="FN41" i="1"/>
  <c r="FO41" i="1"/>
  <c r="FL42" i="1"/>
  <c r="FM42" i="1"/>
  <c r="FN42" i="1"/>
  <c r="FO42" i="1"/>
  <c r="FL43" i="1"/>
  <c r="FM43" i="1"/>
  <c r="FN43" i="1"/>
  <c r="FO43" i="1"/>
  <c r="FL44" i="1"/>
  <c r="FM44" i="1"/>
  <c r="FN44" i="1"/>
  <c r="FO44" i="1"/>
  <c r="FL45" i="1"/>
  <c r="FM45" i="1"/>
  <c r="FN45" i="1"/>
  <c r="FO45" i="1"/>
  <c r="FL46" i="1"/>
  <c r="FM46" i="1"/>
  <c r="FN46" i="1"/>
  <c r="FO46" i="1"/>
  <c r="FL47" i="1"/>
  <c r="FM47" i="1"/>
  <c r="FN47" i="1"/>
  <c r="FO47" i="1"/>
  <c r="FL49" i="1"/>
  <c r="FN49" i="1"/>
  <c r="FO49" i="1"/>
  <c r="FL50" i="1"/>
  <c r="FM50" i="1"/>
  <c r="FN50" i="1"/>
  <c r="FO50" i="1"/>
  <c r="FL51" i="1"/>
  <c r="FM51" i="1"/>
  <c r="FN51" i="1"/>
  <c r="FO51" i="1"/>
  <c r="FL52" i="1"/>
  <c r="FM52" i="1"/>
  <c r="FN52" i="1"/>
  <c r="FO52" i="1"/>
  <c r="FL53" i="1"/>
  <c r="FM53" i="1"/>
  <c r="FN53" i="1"/>
  <c r="FO53" i="1"/>
  <c r="FO3" i="1"/>
  <c r="FN3" i="1"/>
  <c r="FM3" i="1"/>
  <c r="FL3" i="1"/>
  <c r="FG3" i="1"/>
  <c r="FF3" i="1"/>
  <c r="FE3" i="1"/>
  <c r="FD3" i="1"/>
  <c r="EV4" i="1"/>
  <c r="EW4" i="1"/>
  <c r="EX4" i="1"/>
  <c r="EY4" i="1"/>
  <c r="EV5" i="1"/>
  <c r="EW5" i="1"/>
  <c r="EX5" i="1"/>
  <c r="EY5" i="1"/>
  <c r="EV6" i="1"/>
  <c r="EW6" i="1"/>
  <c r="EX6" i="1"/>
  <c r="EY6" i="1"/>
  <c r="EV7" i="1"/>
  <c r="EW7" i="1"/>
  <c r="EX7" i="1"/>
  <c r="EY7" i="1"/>
  <c r="EV8" i="1"/>
  <c r="EW8" i="1"/>
  <c r="EX8" i="1"/>
  <c r="EY8" i="1"/>
  <c r="EV9" i="1"/>
  <c r="EW9" i="1"/>
  <c r="EX9" i="1"/>
  <c r="EY9" i="1"/>
  <c r="EV10" i="1"/>
  <c r="EW10" i="1"/>
  <c r="EX10" i="1"/>
  <c r="EY10" i="1"/>
  <c r="EV11" i="1"/>
  <c r="EW11" i="1"/>
  <c r="EX11" i="1"/>
  <c r="EY11" i="1"/>
  <c r="EV12" i="1"/>
  <c r="EW12" i="1"/>
  <c r="EX12" i="1"/>
  <c r="EY12" i="1"/>
  <c r="EV13" i="1"/>
  <c r="EW13" i="1"/>
  <c r="EX13" i="1"/>
  <c r="EY13" i="1"/>
  <c r="EV14" i="1"/>
  <c r="EW14" i="1"/>
  <c r="EX14" i="1"/>
  <c r="EY14" i="1"/>
  <c r="EV15" i="1"/>
  <c r="EW15" i="1"/>
  <c r="EX15" i="1"/>
  <c r="EY15" i="1"/>
  <c r="EV16" i="1"/>
  <c r="EW16" i="1"/>
  <c r="EX16" i="1"/>
  <c r="EY16" i="1"/>
  <c r="EV17" i="1"/>
  <c r="EW17" i="1"/>
  <c r="EX17" i="1"/>
  <c r="EY17" i="1"/>
  <c r="EV18" i="1"/>
  <c r="EW18" i="1"/>
  <c r="EX18" i="1"/>
  <c r="EY18" i="1"/>
  <c r="EV19" i="1"/>
  <c r="EW19" i="1"/>
  <c r="EX19" i="1"/>
  <c r="EY19" i="1"/>
  <c r="EV20" i="1"/>
  <c r="EW20" i="1"/>
  <c r="EX20" i="1"/>
  <c r="EY20" i="1"/>
  <c r="EV21" i="1"/>
  <c r="EW21" i="1"/>
  <c r="EX21" i="1"/>
  <c r="EY21" i="1"/>
  <c r="EV22" i="1"/>
  <c r="EW22" i="1"/>
  <c r="EX22" i="1"/>
  <c r="EY22" i="1"/>
  <c r="EV23" i="1"/>
  <c r="EW23" i="1"/>
  <c r="EX23" i="1"/>
  <c r="EY23" i="1"/>
  <c r="EV24" i="1"/>
  <c r="EW24" i="1"/>
  <c r="EX24" i="1"/>
  <c r="EY24" i="1"/>
  <c r="EV25" i="1"/>
  <c r="EW25" i="1"/>
  <c r="EX25" i="1"/>
  <c r="EY25" i="1"/>
  <c r="EV26" i="1"/>
  <c r="EW26" i="1"/>
  <c r="EX26" i="1"/>
  <c r="EY26" i="1"/>
  <c r="EV27" i="1"/>
  <c r="EW27" i="1"/>
  <c r="EX27" i="1"/>
  <c r="EY27" i="1"/>
  <c r="EV28" i="1"/>
  <c r="EW28" i="1"/>
  <c r="EX28" i="1"/>
  <c r="EY28" i="1"/>
  <c r="EV29" i="1"/>
  <c r="EW29" i="1"/>
  <c r="EX29" i="1"/>
  <c r="EY29" i="1"/>
  <c r="EV30" i="1"/>
  <c r="EW30" i="1"/>
  <c r="EX30" i="1"/>
  <c r="EY30" i="1"/>
  <c r="EV31" i="1"/>
  <c r="EW31" i="1"/>
  <c r="EX31" i="1"/>
  <c r="EY31" i="1"/>
  <c r="EV32" i="1"/>
  <c r="EW32" i="1"/>
  <c r="EX32" i="1"/>
  <c r="EY32" i="1"/>
  <c r="EV33" i="1"/>
  <c r="EW33" i="1"/>
  <c r="EX33" i="1"/>
  <c r="EY33" i="1"/>
  <c r="EV34" i="1"/>
  <c r="EW34" i="1"/>
  <c r="EX34" i="1"/>
  <c r="EY34" i="1"/>
  <c r="EV35" i="1"/>
  <c r="EW35" i="1"/>
  <c r="EX35" i="1"/>
  <c r="EY35" i="1"/>
  <c r="EV36" i="1"/>
  <c r="EW36" i="1"/>
  <c r="EX36" i="1"/>
  <c r="EY36" i="1"/>
  <c r="EV37" i="1"/>
  <c r="EW37" i="1"/>
  <c r="EX37" i="1"/>
  <c r="EY37" i="1"/>
  <c r="EV38" i="1"/>
  <c r="EW38" i="1"/>
  <c r="EX38" i="1"/>
  <c r="EY38" i="1"/>
  <c r="EV39" i="1"/>
  <c r="EW39" i="1"/>
  <c r="EX39" i="1"/>
  <c r="EY39" i="1"/>
  <c r="EV40" i="1"/>
  <c r="EW40" i="1"/>
  <c r="EX40" i="1"/>
  <c r="EY40" i="1"/>
  <c r="EV41" i="1"/>
  <c r="EW41" i="1"/>
  <c r="EX41" i="1"/>
  <c r="EY41" i="1"/>
  <c r="EV42" i="1"/>
  <c r="EW42" i="1"/>
  <c r="EX42" i="1"/>
  <c r="EY42" i="1"/>
  <c r="EV43" i="1"/>
  <c r="EW43" i="1"/>
  <c r="EX43" i="1"/>
  <c r="EY43" i="1"/>
  <c r="EV44" i="1"/>
  <c r="EW44" i="1"/>
  <c r="EX44" i="1"/>
  <c r="EY44" i="1"/>
  <c r="EV45" i="1"/>
  <c r="EW45" i="1"/>
  <c r="EX45" i="1"/>
  <c r="EY45" i="1"/>
  <c r="EV46" i="1"/>
  <c r="EW46" i="1"/>
  <c r="EX46" i="1"/>
  <c r="EY46" i="1"/>
  <c r="EV47" i="1"/>
  <c r="EW47" i="1"/>
  <c r="EX47" i="1"/>
  <c r="EY47" i="1"/>
  <c r="EV49" i="1"/>
  <c r="EW49" i="1"/>
  <c r="EX49" i="1"/>
  <c r="EY49" i="1"/>
  <c r="EV50" i="1"/>
  <c r="EW50" i="1"/>
  <c r="EX50" i="1"/>
  <c r="EY50" i="1"/>
  <c r="EV51" i="1"/>
  <c r="EW51" i="1"/>
  <c r="EX51" i="1"/>
  <c r="EY51" i="1"/>
  <c r="EV52" i="1"/>
  <c r="EW52" i="1"/>
  <c r="EX52" i="1"/>
  <c r="EY52" i="1"/>
  <c r="EV53" i="1"/>
  <c r="EW53" i="1"/>
  <c r="EX53" i="1"/>
  <c r="EY53" i="1"/>
  <c r="EY3" i="1"/>
  <c r="EX3" i="1"/>
  <c r="EW3" i="1"/>
  <c r="EV3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10" i="6"/>
  <c r="B3" i="6"/>
  <c r="B4" i="6"/>
  <c r="B5" i="6"/>
  <c r="B6" i="6"/>
  <c r="B7" i="6"/>
  <c r="B8" i="6"/>
  <c r="B9" i="6"/>
  <c r="B2" i="6"/>
  <c r="AO3" i="1" l="1"/>
  <c r="FR3" i="1"/>
  <c r="AN3" i="1"/>
  <c r="AP27" i="1"/>
  <c r="AP33" i="1"/>
  <c r="AP39" i="1"/>
  <c r="AO47" i="1"/>
  <c r="AP35" i="1"/>
  <c r="AO49" i="1"/>
  <c r="AP37" i="1"/>
  <c r="AP53" i="1"/>
  <c r="AO53" i="1"/>
  <c r="AP51" i="1"/>
  <c r="AP43" i="1"/>
  <c r="AP29" i="1"/>
  <c r="AP47" i="1"/>
  <c r="AP45" i="1"/>
  <c r="AO45" i="1"/>
  <c r="AP31" i="1"/>
  <c r="AO51" i="1"/>
  <c r="AO43" i="1"/>
  <c r="FP4" i="1"/>
  <c r="FP6" i="1"/>
  <c r="FP8" i="1"/>
  <c r="FP10" i="1"/>
  <c r="FP12" i="1"/>
  <c r="FP20" i="1"/>
  <c r="FP24" i="1"/>
  <c r="FP26" i="1"/>
  <c r="FP28" i="1"/>
  <c r="FP36" i="1"/>
  <c r="FP38" i="1"/>
  <c r="FP40" i="1"/>
  <c r="FP44" i="1"/>
  <c r="AM5" i="1"/>
  <c r="AM7" i="1"/>
  <c r="AM9" i="1"/>
  <c r="AM11" i="1"/>
  <c r="AM13" i="1"/>
  <c r="AM15" i="1"/>
  <c r="AM17" i="1"/>
  <c r="AM19" i="1"/>
  <c r="AM21" i="1"/>
  <c r="AM23" i="1"/>
  <c r="AM25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FQ30" i="1"/>
  <c r="FQ36" i="1"/>
  <c r="FQ50" i="1"/>
  <c r="AN5" i="1"/>
  <c r="AN7" i="1"/>
  <c r="AN11" i="1"/>
  <c r="AN13" i="1"/>
  <c r="AN15" i="1"/>
  <c r="AN17" i="1"/>
  <c r="AN21" i="1"/>
  <c r="AN23" i="1"/>
  <c r="AN25" i="1"/>
  <c r="AN29" i="1"/>
  <c r="AN31" i="1"/>
  <c r="AN35" i="1"/>
  <c r="AN37" i="1"/>
  <c r="AN41" i="1"/>
  <c r="AN45" i="1"/>
  <c r="AN47" i="1"/>
  <c r="AN51" i="1"/>
  <c r="AN53" i="1"/>
  <c r="AO13" i="1"/>
  <c r="AO19" i="1"/>
  <c r="AO23" i="1"/>
  <c r="AO25" i="1"/>
  <c r="AO29" i="1"/>
  <c r="AO31" i="1"/>
  <c r="AO35" i="1"/>
  <c r="AO41" i="1"/>
  <c r="FQ4" i="1"/>
  <c r="FQ8" i="1"/>
  <c r="FQ10" i="1"/>
  <c r="FQ14" i="1"/>
  <c r="FQ16" i="1"/>
  <c r="FQ18" i="1"/>
  <c r="FQ20" i="1"/>
  <c r="FQ24" i="1"/>
  <c r="FQ26" i="1"/>
  <c r="FQ28" i="1"/>
  <c r="FQ32" i="1"/>
  <c r="FQ34" i="1"/>
  <c r="FQ38" i="1"/>
  <c r="FQ46" i="1"/>
  <c r="AN9" i="1"/>
  <c r="AN19" i="1"/>
  <c r="AN27" i="1"/>
  <c r="AN33" i="1"/>
  <c r="AN39" i="1"/>
  <c r="AN43" i="1"/>
  <c r="AN49" i="1"/>
  <c r="AO39" i="1"/>
  <c r="FR4" i="1"/>
  <c r="FR6" i="1"/>
  <c r="FR8" i="1"/>
  <c r="FR10" i="1"/>
  <c r="FR12" i="1"/>
  <c r="FR14" i="1"/>
  <c r="FR16" i="1"/>
  <c r="FR20" i="1"/>
  <c r="FR24" i="1"/>
  <c r="FR26" i="1"/>
  <c r="FR28" i="1"/>
  <c r="FR30" i="1"/>
  <c r="FR32" i="1"/>
  <c r="FR36" i="1"/>
  <c r="FR38" i="1"/>
  <c r="FR40" i="1"/>
  <c r="FR42" i="1"/>
  <c r="FR44" i="1"/>
  <c r="FR46" i="1"/>
  <c r="FR48" i="1"/>
  <c r="FR52" i="1"/>
  <c r="FQ3" i="1"/>
  <c r="AO5" i="1"/>
  <c r="AO7" i="1"/>
  <c r="AO9" i="1"/>
  <c r="AO11" i="1"/>
  <c r="AO15" i="1"/>
  <c r="AO17" i="1"/>
  <c r="AO21" i="1"/>
  <c r="AO27" i="1"/>
  <c r="AO33" i="1"/>
  <c r="FS4" i="1"/>
  <c r="FS6" i="1"/>
  <c r="FS8" i="1"/>
  <c r="FS10" i="1"/>
  <c r="FS14" i="1"/>
  <c r="FS16" i="1"/>
  <c r="FS18" i="1"/>
  <c r="FS20" i="1"/>
  <c r="FS22" i="1"/>
  <c r="FS24" i="1"/>
  <c r="FS26" i="1"/>
  <c r="FS30" i="1"/>
  <c r="FS32" i="1"/>
  <c r="FS34" i="1"/>
  <c r="FS36" i="1"/>
  <c r="FS38" i="1"/>
  <c r="FS40" i="1"/>
  <c r="FS42" i="1"/>
  <c r="FS46" i="1"/>
  <c r="FS48" i="1"/>
  <c r="FS50" i="1"/>
  <c r="FS52" i="1"/>
  <c r="FP3" i="1"/>
  <c r="AP5" i="1"/>
  <c r="AP7" i="1"/>
  <c r="AP9" i="1"/>
  <c r="AP11" i="1"/>
  <c r="AP13" i="1"/>
  <c r="AP15" i="1"/>
  <c r="AP17" i="1"/>
  <c r="AP19" i="1"/>
  <c r="AP21" i="1"/>
  <c r="AP23" i="1"/>
  <c r="FP5" i="1"/>
  <c r="FP7" i="1"/>
  <c r="FP11" i="1"/>
  <c r="FP13" i="1"/>
  <c r="FP15" i="1"/>
  <c r="FP17" i="1"/>
  <c r="FP19" i="1"/>
  <c r="FP23" i="1"/>
  <c r="FP27" i="1"/>
  <c r="FP29" i="1"/>
  <c r="FP31" i="1"/>
  <c r="FP33" i="1"/>
  <c r="FP35" i="1"/>
  <c r="FP37" i="1"/>
  <c r="FP39" i="1"/>
  <c r="FP41" i="1"/>
  <c r="FP43" i="1"/>
  <c r="FP45" i="1"/>
  <c r="FP47" i="1"/>
  <c r="FP49" i="1"/>
  <c r="FP51" i="1"/>
  <c r="AM4" i="1"/>
  <c r="AM6" i="1"/>
  <c r="AM8" i="1"/>
  <c r="AM10" i="1"/>
  <c r="AM12" i="1"/>
  <c r="AM14" i="1"/>
  <c r="AM16" i="1"/>
  <c r="AM18" i="1"/>
  <c r="AM20" i="1"/>
  <c r="AM22" i="1"/>
  <c r="AM24" i="1"/>
  <c r="AM26" i="1"/>
  <c r="AM28" i="1"/>
  <c r="AM30" i="1"/>
  <c r="AM32" i="1"/>
  <c r="AM34" i="1"/>
  <c r="AM36" i="1"/>
  <c r="AM38" i="1"/>
  <c r="AM40" i="1"/>
  <c r="AM42" i="1"/>
  <c r="AM44" i="1"/>
  <c r="AM46" i="1"/>
  <c r="AM48" i="1"/>
  <c r="AM50" i="1"/>
  <c r="AM52" i="1"/>
  <c r="AP3" i="1"/>
  <c r="FQ17" i="1"/>
  <c r="FQ27" i="1"/>
  <c r="FQ33" i="1"/>
  <c r="FQ37" i="1"/>
  <c r="FQ41" i="1"/>
  <c r="FQ49" i="1"/>
  <c r="FQ53" i="1"/>
  <c r="AN6" i="1"/>
  <c r="AN10" i="1"/>
  <c r="AN14" i="1"/>
  <c r="AN20" i="1"/>
  <c r="AN26" i="1"/>
  <c r="AN30" i="1"/>
  <c r="AN34" i="1"/>
  <c r="AN38" i="1"/>
  <c r="AN44" i="1"/>
  <c r="AN48" i="1"/>
  <c r="AN52" i="1"/>
  <c r="AP50" i="1"/>
  <c r="FQ7" i="1"/>
  <c r="FQ9" i="1"/>
  <c r="FQ11" i="1"/>
  <c r="FQ13" i="1"/>
  <c r="FQ15" i="1"/>
  <c r="FQ19" i="1"/>
  <c r="FQ21" i="1"/>
  <c r="FQ23" i="1"/>
  <c r="FQ29" i="1"/>
  <c r="FQ31" i="1"/>
  <c r="FQ35" i="1"/>
  <c r="FQ39" i="1"/>
  <c r="FQ43" i="1"/>
  <c r="FQ47" i="1"/>
  <c r="FQ51" i="1"/>
  <c r="AN4" i="1"/>
  <c r="AN8" i="1"/>
  <c r="AN12" i="1"/>
  <c r="AN16" i="1"/>
  <c r="AN18" i="1"/>
  <c r="AN22" i="1"/>
  <c r="AN24" i="1"/>
  <c r="AN28" i="1"/>
  <c r="AN32" i="1"/>
  <c r="AN36" i="1"/>
  <c r="AN40" i="1"/>
  <c r="AN42" i="1"/>
  <c r="AN46" i="1"/>
  <c r="AN50" i="1"/>
  <c r="AP30" i="1"/>
  <c r="AP40" i="1"/>
  <c r="AP46" i="1"/>
  <c r="AP52" i="1"/>
  <c r="AO37" i="1"/>
  <c r="FR5" i="1"/>
  <c r="FR7" i="1"/>
  <c r="FR9" i="1"/>
  <c r="FR11" i="1"/>
  <c r="FR13" i="1"/>
  <c r="FR15" i="1"/>
  <c r="FR19" i="1"/>
  <c r="FR21" i="1"/>
  <c r="FR23" i="1"/>
  <c r="FR25" i="1"/>
  <c r="FR27" i="1"/>
  <c r="FR29" i="1"/>
  <c r="FR31" i="1"/>
  <c r="FR33" i="1"/>
  <c r="FR35" i="1"/>
  <c r="FR37" i="1"/>
  <c r="FR39" i="1"/>
  <c r="FR41" i="1"/>
  <c r="FR43" i="1"/>
  <c r="FR45" i="1"/>
  <c r="FR47" i="1"/>
  <c r="FR49" i="1"/>
  <c r="FR51" i="1"/>
  <c r="FR53" i="1"/>
  <c r="AO4" i="1"/>
  <c r="AO6" i="1"/>
  <c r="AO8" i="1"/>
  <c r="AO10" i="1"/>
  <c r="AO12" i="1"/>
  <c r="AO14" i="1"/>
  <c r="AO16" i="1"/>
  <c r="AO18" i="1"/>
  <c r="AO20" i="1"/>
  <c r="AO22" i="1"/>
  <c r="AO24" i="1"/>
  <c r="AO26" i="1"/>
  <c r="AO28" i="1"/>
  <c r="AO30" i="1"/>
  <c r="AO32" i="1"/>
  <c r="AO34" i="1"/>
  <c r="AO36" i="1"/>
  <c r="AO38" i="1"/>
  <c r="AO40" i="1"/>
  <c r="AO42" i="1"/>
  <c r="AO44" i="1"/>
  <c r="AO46" i="1"/>
  <c r="AO48" i="1"/>
  <c r="AO50" i="1"/>
  <c r="AO52" i="1"/>
  <c r="FS7" i="1"/>
  <c r="FS9" i="1"/>
  <c r="FS13" i="1"/>
  <c r="FS15" i="1"/>
  <c r="FS17" i="1"/>
  <c r="FS19" i="1"/>
  <c r="FS21" i="1"/>
  <c r="FS25" i="1"/>
  <c r="FS27" i="1"/>
  <c r="FS29" i="1"/>
  <c r="FS33" i="1"/>
  <c r="FS35" i="1"/>
  <c r="FS37" i="1"/>
  <c r="FS41" i="1"/>
  <c r="FS43" i="1"/>
  <c r="FS45" i="1"/>
  <c r="FS49" i="1"/>
  <c r="FS53" i="1"/>
  <c r="AP4" i="1"/>
  <c r="AP6" i="1"/>
  <c r="AP10" i="1"/>
  <c r="AP12" i="1"/>
  <c r="AP16" i="1"/>
  <c r="AP18" i="1"/>
  <c r="AP22" i="1"/>
  <c r="AP24" i="1"/>
  <c r="AP28" i="1"/>
  <c r="AP32" i="1"/>
  <c r="AP36" i="1"/>
  <c r="AP38" i="1"/>
  <c r="AP42" i="1"/>
  <c r="AP48" i="1"/>
  <c r="AM3" i="1"/>
  <c r="FS11" i="1"/>
  <c r="FS23" i="1"/>
  <c r="FS31" i="1"/>
  <c r="FS39" i="1"/>
  <c r="FS47" i="1"/>
  <c r="FS51" i="1"/>
  <c r="AP8" i="1"/>
  <c r="AP14" i="1"/>
  <c r="AP20" i="1"/>
  <c r="AP26" i="1"/>
  <c r="AP34" i="1"/>
  <c r="AP44" i="1"/>
  <c r="AP49" i="1"/>
  <c r="AP41" i="1"/>
  <c r="AP25" i="1"/>
  <c r="FQ6" i="1"/>
  <c r="FP9" i="1"/>
  <c r="FQ12" i="1"/>
  <c r="FS12" i="1"/>
  <c r="FP14" i="1"/>
  <c r="FP16" i="1"/>
  <c r="FR17" i="1"/>
  <c r="FP18" i="1"/>
  <c r="FR18" i="1"/>
  <c r="FP21" i="1"/>
  <c r="FP22" i="1"/>
  <c r="FQ22" i="1"/>
  <c r="FR22" i="1"/>
  <c r="FP25" i="1"/>
  <c r="FQ25" i="1"/>
  <c r="FS28" i="1"/>
  <c r="FP30" i="1"/>
  <c r="FP32" i="1"/>
  <c r="FP34" i="1"/>
  <c r="FR34" i="1"/>
  <c r="FQ40" i="1"/>
  <c r="FP42" i="1"/>
  <c r="FQ42" i="1"/>
  <c r="FQ44" i="1"/>
  <c r="FS44" i="1"/>
  <c r="FQ45" i="1"/>
  <c r="FP46" i="1"/>
  <c r="FP48" i="1"/>
  <c r="FQ48" i="1"/>
  <c r="FP50" i="1"/>
  <c r="FR50" i="1"/>
  <c r="FP52" i="1"/>
  <c r="FQ52" i="1"/>
  <c r="FP53" i="1"/>
  <c r="FS3" i="1"/>
  <c r="W56" i="1" l="1"/>
  <c r="U56" i="1"/>
  <c r="AP56" i="1" s="1"/>
  <c r="FQ5" i="1"/>
  <c r="S56" i="1"/>
  <c r="AN56" i="1" s="1"/>
  <c r="Y56" i="1"/>
  <c r="V56" i="1"/>
  <c r="X56" i="1"/>
  <c r="R56" i="1"/>
  <c r="AM56" i="1" s="1"/>
  <c r="FS5" i="1"/>
  <c r="T56" i="1"/>
  <c r="AO56" i="1" s="1"/>
  <c r="FH8" i="1"/>
  <c r="FK9" i="1"/>
  <c r="FH16" i="1"/>
  <c r="FH24" i="1"/>
  <c r="FH32" i="1"/>
  <c r="FH34" i="1"/>
  <c r="FH36" i="1"/>
  <c r="FH40" i="1"/>
  <c r="FH42" i="1"/>
  <c r="FH46" i="1"/>
  <c r="FH48" i="1"/>
  <c r="FK48" i="1"/>
  <c r="FH50" i="1"/>
  <c r="FH4" i="1"/>
  <c r="FH5" i="1"/>
  <c r="FH6" i="1"/>
  <c r="FH7" i="1"/>
  <c r="FH9" i="1"/>
  <c r="FH10" i="1"/>
  <c r="FH11" i="1"/>
  <c r="FH12" i="1"/>
  <c r="FH13" i="1"/>
  <c r="FH14" i="1"/>
  <c r="FH15" i="1"/>
  <c r="FH17" i="1"/>
  <c r="FH18" i="1"/>
  <c r="FH19" i="1"/>
  <c r="FH20" i="1"/>
  <c r="FH21" i="1"/>
  <c r="FH22" i="1"/>
  <c r="FH23" i="1"/>
  <c r="FH25" i="1"/>
  <c r="FH26" i="1"/>
  <c r="FH27" i="1"/>
  <c r="FH28" i="1"/>
  <c r="FH29" i="1"/>
  <c r="FH30" i="1"/>
  <c r="FH31" i="1"/>
  <c r="FH33" i="1"/>
  <c r="FH35" i="1"/>
  <c r="FH37" i="1"/>
  <c r="FH38" i="1"/>
  <c r="FH39" i="1"/>
  <c r="FH41" i="1"/>
  <c r="FH43" i="1"/>
  <c r="FH44" i="1"/>
  <c r="FH45" i="1"/>
  <c r="FH47" i="1"/>
  <c r="FH49" i="1"/>
  <c r="FH51" i="1"/>
  <c r="FH52" i="1"/>
  <c r="FH53" i="1"/>
  <c r="FH3" i="1"/>
  <c r="FK46" i="1"/>
  <c r="FK47" i="1"/>
  <c r="FK49" i="1"/>
  <c r="FK50" i="1"/>
  <c r="FK51" i="1"/>
  <c r="FK52" i="1"/>
  <c r="FK53" i="1"/>
  <c r="FK4" i="1"/>
  <c r="FK5" i="1"/>
  <c r="FK6" i="1"/>
  <c r="FK7" i="1"/>
  <c r="FK8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6" i="1"/>
  <c r="FK37" i="1"/>
  <c r="FK38" i="1"/>
  <c r="FK39" i="1"/>
  <c r="FK40" i="1"/>
  <c r="FK41" i="1"/>
  <c r="FK42" i="1"/>
  <c r="FK43" i="1"/>
  <c r="FK44" i="1"/>
  <c r="FK45" i="1"/>
  <c r="FK3" i="1"/>
  <c r="FJ22" i="1" l="1"/>
  <c r="FJ23" i="1"/>
  <c r="FJ24" i="1"/>
  <c r="FJ25" i="1"/>
  <c r="FJ26" i="1"/>
  <c r="FJ27" i="1"/>
  <c r="FJ28" i="1"/>
  <c r="FJ29" i="1"/>
  <c r="FJ30" i="1"/>
  <c r="FJ31" i="1"/>
  <c r="FJ32" i="1"/>
  <c r="FJ33" i="1"/>
  <c r="FJ34" i="1"/>
  <c r="FJ35" i="1"/>
  <c r="FJ36" i="1"/>
  <c r="FJ37" i="1"/>
  <c r="FJ38" i="1"/>
  <c r="FJ39" i="1"/>
  <c r="FJ40" i="1"/>
  <c r="FJ41" i="1"/>
  <c r="FJ42" i="1"/>
  <c r="FJ43" i="1"/>
  <c r="FJ44" i="1"/>
  <c r="FJ45" i="1"/>
  <c r="FJ46" i="1"/>
  <c r="FJ47" i="1"/>
  <c r="FJ48" i="1"/>
  <c r="FJ49" i="1"/>
  <c r="FJ50" i="1"/>
  <c r="FJ51" i="1"/>
  <c r="FJ52" i="1"/>
  <c r="FJ53" i="1"/>
  <c r="FJ4" i="1"/>
  <c r="FJ5" i="1"/>
  <c r="FJ6" i="1"/>
  <c r="FJ7" i="1"/>
  <c r="FJ8" i="1"/>
  <c r="FJ9" i="1"/>
  <c r="FJ10" i="1"/>
  <c r="FJ11" i="1"/>
  <c r="FJ12" i="1"/>
  <c r="FJ13" i="1"/>
  <c r="FJ14" i="1"/>
  <c r="FJ15" i="1"/>
  <c r="FJ16" i="1"/>
  <c r="FJ17" i="1"/>
  <c r="FJ18" i="1"/>
  <c r="FJ19" i="1"/>
  <c r="FJ20" i="1"/>
  <c r="FJ21" i="1"/>
  <c r="FJ3" i="1"/>
  <c r="FI4" i="1"/>
  <c r="FI5" i="1"/>
  <c r="FI6" i="1"/>
  <c r="FI7" i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4" i="1"/>
  <c r="FI25" i="1"/>
  <c r="FI26" i="1"/>
  <c r="FI27" i="1"/>
  <c r="FI28" i="1"/>
  <c r="FI29" i="1"/>
  <c r="FI30" i="1"/>
  <c r="FI31" i="1"/>
  <c r="FI32" i="1"/>
  <c r="FI33" i="1"/>
  <c r="FI34" i="1"/>
  <c r="FI35" i="1"/>
  <c r="FI36" i="1"/>
  <c r="FI37" i="1"/>
  <c r="FI38" i="1"/>
  <c r="FI39" i="1"/>
  <c r="FI40" i="1"/>
  <c r="FI41" i="1"/>
  <c r="FI42" i="1"/>
  <c r="FI43" i="1"/>
  <c r="FI44" i="1"/>
  <c r="FI45" i="1"/>
  <c r="FI46" i="1"/>
  <c r="FI47" i="1"/>
  <c r="FI48" i="1"/>
  <c r="FI49" i="1"/>
  <c r="FI50" i="1"/>
  <c r="FI51" i="1"/>
  <c r="FI52" i="1"/>
  <c r="FI53" i="1"/>
  <c r="FI3" i="1"/>
  <c r="EZ4" i="1" l="1"/>
  <c r="FA4" i="1"/>
  <c r="FB4" i="1"/>
  <c r="FC4" i="1"/>
  <c r="EZ5" i="1"/>
  <c r="FA5" i="1"/>
  <c r="FB5" i="1"/>
  <c r="FC5" i="1"/>
  <c r="EZ6" i="1"/>
  <c r="FA6" i="1"/>
  <c r="FB6" i="1"/>
  <c r="FC6" i="1"/>
  <c r="EZ7" i="1"/>
  <c r="FA7" i="1"/>
  <c r="FB7" i="1"/>
  <c r="FC7" i="1"/>
  <c r="EZ8" i="1"/>
  <c r="FA8" i="1"/>
  <c r="FB8" i="1"/>
  <c r="FC8" i="1"/>
  <c r="EZ9" i="1"/>
  <c r="FA9" i="1"/>
  <c r="FB9" i="1"/>
  <c r="FC9" i="1"/>
  <c r="EZ10" i="1"/>
  <c r="FA10" i="1"/>
  <c r="FB10" i="1"/>
  <c r="FC10" i="1"/>
  <c r="EZ11" i="1"/>
  <c r="FA11" i="1"/>
  <c r="FB11" i="1"/>
  <c r="FC11" i="1"/>
  <c r="EZ12" i="1"/>
  <c r="FA12" i="1"/>
  <c r="FB12" i="1"/>
  <c r="FC12" i="1"/>
  <c r="EZ13" i="1"/>
  <c r="FA13" i="1"/>
  <c r="FB13" i="1"/>
  <c r="FC13" i="1"/>
  <c r="EZ14" i="1"/>
  <c r="FA14" i="1"/>
  <c r="FB14" i="1"/>
  <c r="FC14" i="1"/>
  <c r="EZ15" i="1"/>
  <c r="FA15" i="1"/>
  <c r="FB15" i="1"/>
  <c r="FC15" i="1"/>
  <c r="EZ16" i="1"/>
  <c r="FA16" i="1"/>
  <c r="FB16" i="1"/>
  <c r="FC16" i="1"/>
  <c r="EZ17" i="1"/>
  <c r="FA17" i="1"/>
  <c r="FB17" i="1"/>
  <c r="FC17" i="1"/>
  <c r="EZ18" i="1"/>
  <c r="FA18" i="1"/>
  <c r="FB18" i="1"/>
  <c r="FC18" i="1"/>
  <c r="EZ19" i="1"/>
  <c r="FA19" i="1"/>
  <c r="FB19" i="1"/>
  <c r="FC19" i="1"/>
  <c r="EZ20" i="1"/>
  <c r="FA20" i="1"/>
  <c r="FB20" i="1"/>
  <c r="FC20" i="1"/>
  <c r="EZ21" i="1"/>
  <c r="FA21" i="1"/>
  <c r="FB21" i="1"/>
  <c r="FC21" i="1"/>
  <c r="EZ22" i="1"/>
  <c r="FA22" i="1"/>
  <c r="FB22" i="1"/>
  <c r="FC22" i="1"/>
  <c r="EZ23" i="1"/>
  <c r="FA23" i="1"/>
  <c r="FB23" i="1"/>
  <c r="FC23" i="1"/>
  <c r="EZ24" i="1"/>
  <c r="FA24" i="1"/>
  <c r="FB24" i="1"/>
  <c r="FC24" i="1"/>
  <c r="EZ25" i="1"/>
  <c r="FA25" i="1"/>
  <c r="FB25" i="1"/>
  <c r="FC25" i="1"/>
  <c r="EZ26" i="1"/>
  <c r="FA26" i="1"/>
  <c r="FB26" i="1"/>
  <c r="FC26" i="1"/>
  <c r="EZ27" i="1"/>
  <c r="FA27" i="1"/>
  <c r="FB27" i="1"/>
  <c r="FC27" i="1"/>
  <c r="EZ28" i="1"/>
  <c r="FA28" i="1"/>
  <c r="FB28" i="1"/>
  <c r="FC28" i="1"/>
  <c r="EZ29" i="1"/>
  <c r="FA29" i="1"/>
  <c r="FB29" i="1"/>
  <c r="FC29" i="1"/>
  <c r="EZ30" i="1"/>
  <c r="FA30" i="1"/>
  <c r="FB30" i="1"/>
  <c r="FC30" i="1"/>
  <c r="EZ31" i="1"/>
  <c r="FA31" i="1"/>
  <c r="FB31" i="1"/>
  <c r="FC31" i="1"/>
  <c r="EZ32" i="1"/>
  <c r="FA32" i="1"/>
  <c r="FB32" i="1"/>
  <c r="FC32" i="1"/>
  <c r="EZ33" i="1"/>
  <c r="FA33" i="1"/>
  <c r="FB33" i="1"/>
  <c r="FC33" i="1"/>
  <c r="EZ34" i="1"/>
  <c r="FA34" i="1"/>
  <c r="FB34" i="1"/>
  <c r="FC34" i="1"/>
  <c r="EZ35" i="1"/>
  <c r="FA35" i="1"/>
  <c r="FB35" i="1"/>
  <c r="FC35" i="1"/>
  <c r="EZ36" i="1"/>
  <c r="FA36" i="1"/>
  <c r="FB36" i="1"/>
  <c r="FC36" i="1"/>
  <c r="EZ37" i="1"/>
  <c r="FA37" i="1"/>
  <c r="FB37" i="1"/>
  <c r="FC37" i="1"/>
  <c r="EZ38" i="1"/>
  <c r="FA38" i="1"/>
  <c r="FB38" i="1"/>
  <c r="FC38" i="1"/>
  <c r="EZ39" i="1"/>
  <c r="FA39" i="1"/>
  <c r="FB39" i="1"/>
  <c r="FC39" i="1"/>
  <c r="EZ40" i="1"/>
  <c r="FA40" i="1"/>
  <c r="FB40" i="1"/>
  <c r="FC40" i="1"/>
  <c r="EZ41" i="1"/>
  <c r="FA41" i="1"/>
  <c r="FB41" i="1"/>
  <c r="FC41" i="1"/>
  <c r="EZ42" i="1"/>
  <c r="FA42" i="1"/>
  <c r="FB42" i="1"/>
  <c r="FC42" i="1"/>
  <c r="EZ43" i="1"/>
  <c r="FA43" i="1"/>
  <c r="FB43" i="1"/>
  <c r="FC43" i="1"/>
  <c r="EZ44" i="1"/>
  <c r="FA44" i="1"/>
  <c r="FB44" i="1"/>
  <c r="FC44" i="1"/>
  <c r="EZ45" i="1"/>
  <c r="FA45" i="1"/>
  <c r="FB45" i="1"/>
  <c r="FC45" i="1"/>
  <c r="EZ46" i="1"/>
  <c r="FA46" i="1"/>
  <c r="FB46" i="1"/>
  <c r="FC46" i="1"/>
  <c r="EZ47" i="1"/>
  <c r="FA47" i="1"/>
  <c r="FB47" i="1"/>
  <c r="FC47" i="1"/>
  <c r="EZ48" i="1"/>
  <c r="FA48" i="1"/>
  <c r="FB48" i="1"/>
  <c r="FC48" i="1"/>
  <c r="EZ49" i="1"/>
  <c r="FA49" i="1"/>
  <c r="FB49" i="1"/>
  <c r="FC49" i="1"/>
  <c r="EZ50" i="1"/>
  <c r="FA50" i="1"/>
  <c r="FB50" i="1"/>
  <c r="FC50" i="1"/>
  <c r="EZ51" i="1"/>
  <c r="FA51" i="1"/>
  <c r="FB51" i="1"/>
  <c r="FC51" i="1"/>
  <c r="EZ52" i="1"/>
  <c r="FA52" i="1"/>
  <c r="FB52" i="1"/>
  <c r="FC52" i="1"/>
  <c r="EZ53" i="1"/>
  <c r="FA53" i="1"/>
  <c r="FB53" i="1"/>
  <c r="FC53" i="1"/>
  <c r="FA3" i="1"/>
  <c r="FB3" i="1"/>
  <c r="FC3" i="1"/>
  <c r="EZ3" i="1"/>
  <c r="AH56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5" i="1"/>
  <c r="AH46" i="1"/>
  <c r="AH47" i="1"/>
  <c r="AH48" i="1"/>
  <c r="AH49" i="1"/>
  <c r="AH50" i="1"/>
  <c r="AH51" i="1"/>
  <c r="AH52" i="1"/>
  <c r="AH53" i="1"/>
  <c r="E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tc={ED5F9085-E3CB-2947-987E-CFF498B74CD1}</author>
    <author>tc={493BEA25-F416-D04F-A6AC-CCC3E9A52101}</author>
    <author>tc={7EBC0E78-9669-764D-9BED-AD21115E14C0}</author>
    <author>tc={D272DA84-5EB7-C24E-9C8E-63B2D541F464}</author>
    <author>tc={9BD55EDB-3F34-3045-A37D-24AD277374D2}</author>
    <author>tc={1296E280-4655-E546-BDCC-D21DA9416502}</author>
    <author>tc={31D12F87-6FA8-8447-8974-2E9FC15303BE}</author>
    <author>tc={FDAE298D-9F88-7D47-BC31-70B531719B99}</author>
    <author>tc={3145E163-4621-BB44-AAEE-B2074169772D}</author>
    <author>tc={EB6770AA-E24E-C945-AD29-E7F0D42B708C}</author>
    <author>tc={6ACE4F13-7AE0-2844-AB7B-273E7BCA8131}</author>
    <author>tc={872CDE20-6958-E842-9971-01EE58A1ACF0}</author>
    <author>tc={7B4F30B6-A842-0A45-AE0B-08DF484A2E47}</author>
    <author>tc={75DD5126-B2BC-6842-ADF1-D69196CFEA9D}</author>
    <author>tc={62192CA9-B5B5-9345-AA47-A931B0F6A1F9}</author>
    <author>tc={BDB55B97-E18B-AC4B-8148-3E35934D2AD4}</author>
    <author>tc={C6EB83B7-BD65-D74E-B184-E0DBA4A5D861}</author>
    <author>tc={C26406EF-D408-B74D-BF63-18840C05AAFB}</author>
    <author>tc={49B9DF5B-55BC-4A49-8597-FA54844A445D}</author>
    <author>tc={C5051323-2831-D248-9D65-5F590D709388}</author>
    <author>tc={5ACA41BC-318A-8F40-AA06-B5EBC3E3ABBE}</author>
    <author>tc={BD13A636-BCF4-2140-9553-FD403A84AAC2}</author>
    <author>tc={05BC1F4C-AE16-F14F-8C10-E92122DC7133}</author>
    <author>tc={441BF844-B824-CD45-8422-903206B39998}</author>
    <author>tc={A8E0A0F9-CFA7-2D41-9EA4-CAE3C24BCF61}</author>
    <author>tc={255B9EA5-F320-B947-BFBB-0DDA55B91FAB}</author>
    <author>tc={A3C412F7-2C5A-4047-A520-5F5CDA6944E5}</author>
    <author>tc={60AD0242-821D-F148-A1A4-4E1126327493}</author>
    <author>tc={1A9D03ED-86F1-0A40-B7D9-C6448C68B689}</author>
    <author>tc={4EA906B4-2F69-7B40-9EDB-B7380A49F2CF}</author>
    <author>tc={E7670C3C-80C2-A44B-924C-9E5F94279891}</author>
    <author>tc={E2907136-A944-9F4C-B315-B7468FF8A262}</author>
    <author>tc={6F055F4F-DAFC-0247-8141-51DF3EC7BF57}</author>
    <author>tc={666F3162-4C17-2041-B00D-A23B79BE2F8B}</author>
    <author>tc={5B33C677-CEB1-7F46-A8C9-0468E2DB9B9B}</author>
    <author>tc={ABCF42CA-33A9-504D-A04B-CCF91C71658B}</author>
    <author>tc={1A8D96AB-1793-EA45-9225-6606819C6561}</author>
    <author>tc={E25BF8E3-A152-B74E-B91D-65E2EEA7F905}</author>
    <author>tc={7DEAAD23-97F9-DF4C-B91F-F22632F3C4FE}</author>
    <author>tc={BC59628E-7BE7-2747-905A-525409F81722}</author>
  </authors>
  <commentList>
    <comment ref="F1" authorId="0" shapeId="0" xr:uid="{ED5F9085-E3CB-2947-987E-CFF498B74CD1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Corrected enrollment figures; also to clarify, total enrollment includes students enrolled in SU schools</t>
      </text>
    </comment>
    <comment ref="J1" authorId="1" shapeId="0" xr:uid="{493BEA25-F416-D04F-A6AC-CCC3E9A52101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Corrected enrollment figures; also corrected report template error that was showing total enrollment in place of prek enrollment in a table</t>
      </text>
    </comment>
    <comment ref="N1" authorId="2" shapeId="0" xr:uid="{7EBC0E78-9669-764D-9BED-AD21115E14C0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Corrected enrollment figures</t>
      </text>
    </comment>
    <comment ref="R1" authorId="3" shapeId="0" xr:uid="{D272DA84-5EB7-C24E-9C8E-63B2D541F464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reports will show/explain enrollment (students enrolled in SU schools) vs. single year adm (students SU is repsonsible for) vs. long term adm (2-year average + state placed) vs. equalized/weighted (how the funding formula treated students at the time)</t>
      </text>
    </comment>
    <comment ref="V1" authorId="4" shapeId="0" xr:uid="{9BD55EDB-3F34-3045-A37D-24AD277374D2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reports will show/explain enrollment vs. single year adm vs. long term adm vs. equalized/weighted</t>
      </text>
    </comment>
    <comment ref="AM1" authorId="5" shapeId="0" xr:uid="{1296E280-4655-E546-BDCC-D21DA9416502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use ADM as the denominator, as SpEd counts include students tuitioned out</t>
      </text>
    </comment>
    <comment ref="AQ1" authorId="6" shapeId="0" xr:uid="{31D12F87-6FA8-8447-8974-2E9FC15303BE}">
      <text>
        <t>[Threaded comment]
Your version of Excel allows you to read this threaded comment; however, any edits to it will get removed if the file is opened in a newer version of Excel. Learn more: https://go.microsoft.com/fwlink/?linkid=870924
Comment:
    % have not changed, but in the revised SU/SD reports, blanks will show up as supressed and not 0%</t>
      </text>
    </comment>
    <comment ref="BK1" authorId="7" shapeId="0" xr:uid="{FDAE298D-9F88-7D47-BC31-70B531719B99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use revised enrollment figures excluding prek enrollment; excluding CTE center staff and prek staff</t>
      </text>
    </comment>
    <comment ref="BO1" authorId="8" shapeId="0" xr:uid="{3145E163-4621-BB44-AAEE-B2074169772D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use revised enrollment figures excluding prek enrollment; excluding CTE center staff and prek staff</t>
      </text>
    </comment>
    <comment ref="BS1" authorId="9" shapeId="0" xr:uid="{EB6770AA-E24E-C945-AD29-E7F0D42B708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use revised enrollment figures excluding prek enrollment; excluding CTE center staff and prek staff</t>
      </text>
    </comment>
    <comment ref="BW1" authorId="10" shapeId="0" xr:uid="{6ACE4F13-7AE0-2844-AB7B-273E7BCA8131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use revised enrollment figures excluding prek enrollment; excluding CTE center staff and prek staff</t>
      </text>
    </comment>
    <comment ref="CA1" authorId="11" shapeId="0" xr:uid="{872CDE20-6958-E842-9971-01EE58A1ACF0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excluding CTE center staff and prek staff</t>
      </text>
    </comment>
    <comment ref="CE1" authorId="12" shapeId="0" xr:uid="{7B4F30B6-A842-0A45-AE0B-08DF484A2E47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excluding CTE center staff and prek staff</t>
      </text>
    </comment>
    <comment ref="CI1" authorId="13" shapeId="0" xr:uid="{75DD5126-B2BC-6842-ADF1-D69196CFEA9D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excluding CTE center staff and prek staff</t>
      </text>
    </comment>
    <comment ref="CM1" authorId="14" shapeId="0" xr:uid="{62192CA9-B5B5-9345-AA47-A931B0F6A1F9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excluding CTE center staff and prek staff</t>
      </text>
    </comment>
    <comment ref="CQ1" authorId="15" shapeId="0" xr:uid="{BDB55B97-E18B-AC4B-8148-3E35934D2AD4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has not changed, but SU/SD reports will be updated as there was a template error that was inverting 4-year and 6-year data in some places</t>
      </text>
    </comment>
    <comment ref="EF1" authorId="16" shapeId="0" xr:uid="{C6EB83B7-BD65-D74E-B184-E0DBA4A5D861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Adjustments based on request to buisness managers, will be excluded from total expenditures, ongoing expenditures and general fund expenditures</t>
      </text>
    </comment>
    <comment ref="EJ1" authorId="17" shapeId="0" xr:uid="{C26406EF-D408-B74D-BF63-18840C05AAFB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Adjustments based on request to buisness managers, will be excluded from total expenditures, ongoing expenditures and general fund expenditures</t>
      </text>
    </comment>
    <comment ref="EN1" authorId="18" shapeId="0" xr:uid="{49B9DF5B-55BC-4A49-8597-FA54844A445D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Adjustments based on request to buisness managers, will be excluded from total expenditures, ongoing expenditures and general fund expenditures</t>
      </text>
    </comment>
    <comment ref="ER1" authorId="19" shapeId="0" xr:uid="{C5051323-2831-D248-9D65-5F590D709388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Adjustments based on request to buisness managers, will be excluded from total expenditures, ongoing expenditures and general fund expenditures</t>
      </text>
    </comment>
    <comment ref="EV1" authorId="20" shapeId="0" xr:uid="{5ACA41BC-318A-8F40-AA06-B5EBC3E3ABBE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statbook data and “recipe cards” for exclusions, less additional duplication adjustments in columns to the left</t>
      </text>
    </comment>
    <comment ref="FD1" authorId="21" shapeId="0" xr:uid="{BD13A636-BCF4-2140-9553-FD403A84AAC2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statbook data and “recipe cards” for exclusions, then filtered to just funds 1000-2799, less additional duplicative exp. adjustments in columns to the left</t>
      </text>
    </comment>
    <comment ref="FL1" authorId="22" shapeId="0" xr:uid="{05BC1F4C-AE16-F14F-8C10-E92122DC7133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statbook data and “recipe cards” for exclusions, then filtered to just funds 1000-1999, less additional duplicative exp. adjustments in columns to the left</t>
      </text>
    </comment>
    <comment ref="FT1" authorId="23" shapeId="0" xr:uid="{441BF844-B824-CD45-8422-903206B39998}">
      <text>
        <t>[Threaded comment]
Your version of Excel allows you to read this threaded comment; however, any edits to it will get removed if the file is opened in a newer version of Excel. Learn more: https://go.microsoft.com/fwlink/?linkid=870924
Comment:
    Using statbook data and “recipe cards” for exclusions, then filtered to just sped expenditures (programs 20-29), less additional duplicate exp. in 598 only</t>
      </text>
    </comment>
    <comment ref="EV48" authorId="24" shapeId="0" xr:uid="{A8E0A0F9-CFA7-2D41-9EA4-CAE3C24BCF61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EW48" authorId="25" shapeId="0" xr:uid="{255B9EA5-F320-B947-BFBB-0DDA55B91FAB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EX48" authorId="26" shapeId="0" xr:uid="{A3C412F7-2C5A-4047-A520-5F5CDA6944E5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EY48" authorId="27" shapeId="0" xr:uid="{60AD0242-821D-F148-A1A4-4E1126327493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D48" authorId="28" shapeId="0" xr:uid="{1A9D03ED-86F1-0A40-B7D9-C6448C68B689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E48" authorId="29" shapeId="0" xr:uid="{4EA906B4-2F69-7B40-9EDB-B7380A49F2CF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F48" authorId="30" shapeId="0" xr:uid="{E7670C3C-80C2-A44B-924C-9E5F94279891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G48" authorId="31" shapeId="0" xr:uid="{E2907136-A944-9F4C-B315-B7468FF8A262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L48" authorId="32" shapeId="0" xr:uid="{6F055F4F-DAFC-0247-8141-51DF3EC7BF57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M48" authorId="33" shapeId="0" xr:uid="{666F3162-4C17-2041-B00D-A23B79BE2F8B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N48" authorId="34" shapeId="0" xr:uid="{5B33C677-CEB1-7F46-A8C9-0468E2DB9B9B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O48" authorId="35" shapeId="0" xr:uid="{ABCF42CA-33A9-504D-A04B-CCF91C71658B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T48" authorId="36" shapeId="0" xr:uid="{1A8D96AB-1793-EA45-9225-6606819C6561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U48" authorId="37" shapeId="0" xr:uid="{E25BF8E3-A152-B74E-B91D-65E2EEA7F905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V48" authorId="38" shapeId="0" xr:uid="{7DEAAD23-97F9-DF4C-B91F-F22632F3C4FE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  <comment ref="FW48" authorId="39" shapeId="0" xr:uid="{BC59628E-7BE7-2747-905A-525409F81722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applying provided percentage</t>
      </text>
    </comment>
  </commentList>
</comments>
</file>

<file path=xl/sharedStrings.xml><?xml version="1.0" encoding="utf-8"?>
<sst xmlns="http://schemas.openxmlformats.org/spreadsheetml/2006/main" count="856" uniqueCount="347">
  <si>
    <t>Total Enrollment</t>
  </si>
  <si>
    <t>PreK Enrollment</t>
  </si>
  <si>
    <t>K-12 Enrollment</t>
  </si>
  <si>
    <t>Single-Year ADM</t>
  </si>
  <si>
    <t>LTADM</t>
  </si>
  <si>
    <t>Equalized ADM</t>
  </si>
  <si>
    <t>FRL Percentage</t>
  </si>
  <si>
    <t>SpEd Count</t>
  </si>
  <si>
    <t>SpEd Percentage</t>
  </si>
  <si>
    <t>EL Percentage</t>
  </si>
  <si>
    <t>2018-19 Performance</t>
  </si>
  <si>
    <t>2022-23 Performance</t>
  </si>
  <si>
    <t>19-20 per 100</t>
  </si>
  <si>
    <t>20-21 per 100</t>
  </si>
  <si>
    <t>21-22 per 100</t>
  </si>
  <si>
    <t>22-23 per 100</t>
  </si>
  <si>
    <t>19-20 Average Salary</t>
  </si>
  <si>
    <t>20-21 Average Salary</t>
  </si>
  <si>
    <t>21-22 Average Salary</t>
  </si>
  <si>
    <t>22-23 Average Salary</t>
  </si>
  <si>
    <t>Grad Rates</t>
  </si>
  <si>
    <t>2022-23 SU Accountability Rating</t>
  </si>
  <si>
    <t>2022-23 SU School Count by Rating</t>
  </si>
  <si>
    <t>2022-23 SU % of Schools by Rating</t>
  </si>
  <si>
    <t>Additional Duplicated Expenditure Adjustments, FY20</t>
  </si>
  <si>
    <t>Additional Duplicated Expenditure Adjustments, FY21</t>
  </si>
  <si>
    <t>Additional Duplicated Expenditure Adjustments, FY22</t>
  </si>
  <si>
    <t>Additional Duplicated Expenditure Adjustments, FY23</t>
  </si>
  <si>
    <t>Total Expendiures</t>
  </si>
  <si>
    <t>Total Expendiures per LTADM</t>
  </si>
  <si>
    <t>Ongoing Expenditures (Funds 1000-2799)</t>
  </si>
  <si>
    <t>Ongoing Expendiures per LTADM</t>
  </si>
  <si>
    <t>General Fund (1000-1999) Expenditures only</t>
  </si>
  <si>
    <t>General Fund Expenditures only per LTADM</t>
  </si>
  <si>
    <t>Total SpEd Expenditures</t>
  </si>
  <si>
    <t>Total SpEd Expenditures per SpEd student</t>
  </si>
  <si>
    <t>SUID</t>
  </si>
  <si>
    <t>SU Name</t>
  </si>
  <si>
    <t>SU Size Group</t>
  </si>
  <si>
    <t>Region</t>
  </si>
  <si>
    <t>SU # of Schools</t>
  </si>
  <si>
    <t>SU Total Enrollment 2019-20</t>
  </si>
  <si>
    <t>SU Total Enrollment 2020-21</t>
  </si>
  <si>
    <t>SU Total Enrollment 2021-22</t>
  </si>
  <si>
    <t>SU Total Enrollment 2022-23</t>
  </si>
  <si>
    <t>SU PreK Enrollment 2019-20</t>
  </si>
  <si>
    <t>SU PreK Enrollment 2020-21</t>
  </si>
  <si>
    <t>SU PreK Enrollment 2021-22</t>
  </si>
  <si>
    <t>SU PreK Enrollment 2022-23</t>
  </si>
  <si>
    <t>SU K-12 Enrollment 2019-20</t>
  </si>
  <si>
    <t>SU K-12 Enrollment 2020-21</t>
  </si>
  <si>
    <t>SU K-12 Enrollment 2021-22</t>
  </si>
  <si>
    <t>SU K-12 Enrollment 2022-23</t>
  </si>
  <si>
    <t>Single-Year ADM 2019-20</t>
  </si>
  <si>
    <t>Single-Year ADM 2020-21</t>
  </si>
  <si>
    <t>Single-Year ADM 2021-22</t>
  </si>
  <si>
    <t>Single-Year ADM 2022-23</t>
  </si>
  <si>
    <t>LTADM 2019-20</t>
  </si>
  <si>
    <t>LTADM 2020-21</t>
  </si>
  <si>
    <t>LTADM 2021-22</t>
  </si>
  <si>
    <t>LTADM 2022-23</t>
  </si>
  <si>
    <t>Equalized ADM 2019-20</t>
  </si>
  <si>
    <t>Equalized ADM 2020-21</t>
  </si>
  <si>
    <t>Equalized ADM 2021-22</t>
  </si>
  <si>
    <t>Equalized ADM 2022-23</t>
  </si>
  <si>
    <t>SU FRL Percentage 2019-20</t>
  </si>
  <si>
    <t>SU FRL Percentage 2020-21</t>
  </si>
  <si>
    <t>SU FRL Percentage 2021-22</t>
  </si>
  <si>
    <t>SU FRL Percentage 2022-23</t>
  </si>
  <si>
    <t>SU FRL, 3-year average SY20-22</t>
  </si>
  <si>
    <t>SU SPED Count 2019-20</t>
  </si>
  <si>
    <t>SU SPED Count 2020-21</t>
  </si>
  <si>
    <t>SU SPED Count 2021-22</t>
  </si>
  <si>
    <t>SU SPED Count 2022-23</t>
  </si>
  <si>
    <t>SU SPED Percentage 2019-20</t>
  </si>
  <si>
    <t>SU SPED Percentage 2020-21</t>
  </si>
  <si>
    <t>SU SPED Percentage 2021-22</t>
  </si>
  <si>
    <t>SU SPED Percentage 2022-23</t>
  </si>
  <si>
    <t>SU EL Percentage 2019-20</t>
  </si>
  <si>
    <t>SU EL Percentage  2020-21</t>
  </si>
  <si>
    <t>SU EL Percentage 2021-22</t>
  </si>
  <si>
    <t>SU EL Percentage 2022-23</t>
  </si>
  <si>
    <t>SU ELA 3-5 2018-19</t>
  </si>
  <si>
    <t>SU ELA 6-8 2018-19</t>
  </si>
  <si>
    <t>SU ELA 9 2018-19</t>
  </si>
  <si>
    <t>SU ELA All Grades 2018-19</t>
  </si>
  <si>
    <t>SU Math 3-5 2018-19</t>
  </si>
  <si>
    <t>SU Math 6-8 2018-19</t>
  </si>
  <si>
    <t>SU Math 9 2018-19</t>
  </si>
  <si>
    <t>SU Math All Grades 2018-19</t>
  </si>
  <si>
    <t>SU ELA 3-5 2022-23</t>
  </si>
  <si>
    <t>SU ELA 6-8 2022-23</t>
  </si>
  <si>
    <t>SU ELA 9 2022-23</t>
  </si>
  <si>
    <t>SU ELA All Grades 2022-23</t>
  </si>
  <si>
    <t>SU Math 3-5 2022-23</t>
  </si>
  <si>
    <t>SU Math 6-8 2022-23</t>
  </si>
  <si>
    <t>SU Math 9 2022-23</t>
  </si>
  <si>
    <t>SU Math All Grades 2022-23</t>
  </si>
  <si>
    <t>SU Teachers per 100 19-20</t>
  </si>
  <si>
    <t>SU Leaders per 100 19-20</t>
  </si>
  <si>
    <t>SU Student Services per 100 19-20</t>
  </si>
  <si>
    <t>SU Support Services per 100 19-20</t>
  </si>
  <si>
    <t>SU Teachers per 100 20-21</t>
  </si>
  <si>
    <t xml:space="preserve"> SU Leaders per 100 20-21</t>
  </si>
  <si>
    <t>SU Student Services per 100 20-21</t>
  </si>
  <si>
    <t>SU Support Services per 100 20-21</t>
  </si>
  <si>
    <t>SU Teachers per 100 21-22</t>
  </si>
  <si>
    <t>SU Leaders per 100 21-22</t>
  </si>
  <si>
    <t>SU Student Services per 100 21-22</t>
  </si>
  <si>
    <t>SU Support Services per 100 21-22</t>
  </si>
  <si>
    <t>SU Teachers per 100 22-23</t>
  </si>
  <si>
    <t>SU Leaders per 100 22-23</t>
  </si>
  <si>
    <t>SU Student Services per 100 22-23</t>
  </si>
  <si>
    <t>SU Support Services per 100 22-23</t>
  </si>
  <si>
    <t>SU Teachers Salary 19-20</t>
  </si>
  <si>
    <t>SU Leaders Salary 19-20</t>
  </si>
  <si>
    <t>SU Student Services Salary 19-20</t>
  </si>
  <si>
    <t>SU Support Services Salary 19-20</t>
  </si>
  <si>
    <t>SU Teachers Salary 20-21</t>
  </si>
  <si>
    <t>SU Leaders Salary 20-21</t>
  </si>
  <si>
    <t>SU Student Services Salary 20-21</t>
  </si>
  <si>
    <t>SU Support Services Salary 20-21</t>
  </si>
  <si>
    <t>SU Teachers Salary 21-22</t>
  </si>
  <si>
    <t>SU Leaders Salary 21-22</t>
  </si>
  <si>
    <t>SU Student Services Salary 21-22</t>
  </si>
  <si>
    <t>SU Support Services Salary 21-22</t>
  </si>
  <si>
    <t>SU Teachers Salary 22-23</t>
  </si>
  <si>
    <t>SU Leaders Salary 22-23</t>
  </si>
  <si>
    <t>SU Student Services Salary 22-23</t>
  </si>
  <si>
    <t>SU Support Services Salary 22-23</t>
  </si>
  <si>
    <t>2019-20 4 year Grad Rate</t>
  </si>
  <si>
    <t>2019-20 6 Year Grad rate</t>
  </si>
  <si>
    <t>2020-21 4 year Grad Rate</t>
  </si>
  <si>
    <t>2020-21 6 Year Grad rate</t>
  </si>
  <si>
    <t>2021-22 4 year Grad Rate</t>
  </si>
  <si>
    <t>2021-22 6 Year Grad rate</t>
  </si>
  <si>
    <t>2022-23 4 year Grad Rate</t>
  </si>
  <si>
    <t>2022-23 6 Year Grad rate</t>
  </si>
  <si>
    <t>SU ELA Overall</t>
  </si>
  <si>
    <t>SU Math Overall</t>
  </si>
  <si>
    <t>SU Science Overall</t>
  </si>
  <si>
    <t>ELAExceedingCount</t>
  </si>
  <si>
    <t>ELAMeetingCount</t>
  </si>
  <si>
    <t>ELAApproachingCount</t>
  </si>
  <si>
    <t>ELANot MeetingCount</t>
  </si>
  <si>
    <t>ELASuppressedCount</t>
  </si>
  <si>
    <t>MathExceedingCount</t>
  </si>
  <si>
    <t>MathMeetingCount</t>
  </si>
  <si>
    <t>MathApproachingCount</t>
  </si>
  <si>
    <t>MathNot MeetingCount</t>
  </si>
  <si>
    <t>MathSuppressedCount</t>
  </si>
  <si>
    <t>ScienceExceedingCount</t>
  </si>
  <si>
    <t>ScienceMeetingCount</t>
  </si>
  <si>
    <t>ScienceApproachingCount</t>
  </si>
  <si>
    <t>ScienceNot MeetingCount</t>
  </si>
  <si>
    <t>ScienceSuppressedCount</t>
  </si>
  <si>
    <t>SU ELAExceeding%</t>
  </si>
  <si>
    <t>SU ELAMeeting%</t>
  </si>
  <si>
    <t>SU ELAApproaching%</t>
  </si>
  <si>
    <t>SU ELANot Meeting%</t>
  </si>
  <si>
    <t>SU ELASuppressed%</t>
  </si>
  <si>
    <t>SU MathExceeding%</t>
  </si>
  <si>
    <t>SU MathMeeting%</t>
  </si>
  <si>
    <t>SU MathApproaching%</t>
  </si>
  <si>
    <t>SU MathNot Meeting%</t>
  </si>
  <si>
    <t>SU MathSuppressed%</t>
  </si>
  <si>
    <t>SU ScienceExceeding%</t>
  </si>
  <si>
    <t>SU ScienceMeeting%</t>
  </si>
  <si>
    <t>SU ScienceApproaching%</t>
  </si>
  <si>
    <t>SU ScienceNot Meeting%</t>
  </si>
  <si>
    <t>SU ScienceSuppressed%</t>
  </si>
  <si>
    <t>568, FY20</t>
  </si>
  <si>
    <t>569, FY20</t>
  </si>
  <si>
    <t>597, FY20</t>
  </si>
  <si>
    <t>598, FY20</t>
  </si>
  <si>
    <t>568, FY21</t>
  </si>
  <si>
    <t>569, FY21</t>
  </si>
  <si>
    <t>597, FY21</t>
  </si>
  <si>
    <t>598, FY21</t>
  </si>
  <si>
    <t>568, FY22</t>
  </si>
  <si>
    <t>569, FY22</t>
  </si>
  <si>
    <t>597, FY22</t>
  </si>
  <si>
    <t>598, FY22</t>
  </si>
  <si>
    <t>568, FY23</t>
  </si>
  <si>
    <t>569, FY23</t>
  </si>
  <si>
    <t>597, FY23</t>
  </si>
  <si>
    <t>598, FY23</t>
  </si>
  <si>
    <t>Total Expenditures, FY20</t>
  </si>
  <si>
    <t>Total Expenditures, FY21</t>
  </si>
  <si>
    <t>Total Expenditures, FY22</t>
  </si>
  <si>
    <t>Total Expenditures, FY23</t>
  </si>
  <si>
    <t>Total Expenditures per LTADM, FY20</t>
  </si>
  <si>
    <t>Total Expenditures per LTADM, FY21</t>
  </si>
  <si>
    <t>Total Expenditures per LTADM, FY22</t>
  </si>
  <si>
    <t>Total Expenditures per LTADM, FY23</t>
  </si>
  <si>
    <t>Ongoing Expenditures (Funds 1000-2799), FY20</t>
  </si>
  <si>
    <t>Ongoing Expenditures (Funds 1000-2799), FY21</t>
  </si>
  <si>
    <t>Ongoing Expenditures (Funds 1000-2799), FY22</t>
  </si>
  <si>
    <t>Ongoing Expenditures (Funds 1000-2799), FY23</t>
  </si>
  <si>
    <t>Ongoing Expenditures (Funds 1000-2799) per LTADM, FY20</t>
  </si>
  <si>
    <t>Ongoing Expenditures (Funds 1000-2799) per LTADM, FY21</t>
  </si>
  <si>
    <t>Ongoing Expenditures (Funds 1000-2799) per LTADM, FY22</t>
  </si>
  <si>
    <t>Ongoing Expenditures (Funds 1000-2799) per LTADM, FY23</t>
  </si>
  <si>
    <t>General Fund Expenditures only, FY20</t>
  </si>
  <si>
    <t>General Fund Expenditures only, FY21</t>
  </si>
  <si>
    <t>General Fund Expenditures only, FY22</t>
  </si>
  <si>
    <t>General Fund Expenditures only, FY23</t>
  </si>
  <si>
    <t>General Fund Expenditures only, per LTADM, FY20</t>
  </si>
  <si>
    <t>General Fund Expenditures only, per LTADM, FY21</t>
  </si>
  <si>
    <t>General Fund Expenditures only, per LTADM, FY22</t>
  </si>
  <si>
    <t>General Fund Expenditures only, per LTADM, FY23</t>
  </si>
  <si>
    <t>Total SpEd Expenditures, FY20</t>
  </si>
  <si>
    <t>Total SpEd Expenditures, FY21</t>
  </si>
  <si>
    <t>Total SpEd Expenditures, FY22</t>
  </si>
  <si>
    <t>Total SpEd Expenditures, FY23</t>
  </si>
  <si>
    <t>Total SpEd Expenditures per SpEd student, FY20</t>
  </si>
  <si>
    <t>Total SpEd Expenditures per SpEd student, FY21</t>
  </si>
  <si>
    <t>Total SpEd Expenditures per SpEd student, FY22</t>
  </si>
  <si>
    <t>Total SpEd Expenditures per SpEd student, FY23</t>
  </si>
  <si>
    <t>SU001</t>
  </si>
  <si>
    <t>Mt. Abraham USD</t>
  </si>
  <si>
    <t>Champlain Valley Region</t>
  </si>
  <si>
    <t/>
  </si>
  <si>
    <t>Approaching</t>
  </si>
  <si>
    <t>SU002</t>
  </si>
  <si>
    <t>Addison Northwest SD</t>
  </si>
  <si>
    <t>SU003</t>
  </si>
  <si>
    <t>Addison Central SD</t>
  </si>
  <si>
    <t>Meeting</t>
  </si>
  <si>
    <t>SU004</t>
  </si>
  <si>
    <t>Slate Valley UUSD</t>
  </si>
  <si>
    <t>Southwest Region</t>
  </si>
  <si>
    <t>SU005</t>
  </si>
  <si>
    <t>Southwest Vermont SU</t>
  </si>
  <si>
    <t>SU006</t>
  </si>
  <si>
    <t>Bennington Rutland SU</t>
  </si>
  <si>
    <t>SU007</t>
  </si>
  <si>
    <t>Colchester SD</t>
  </si>
  <si>
    <t>SU009</t>
  </si>
  <si>
    <t>Caledonia Central SU</t>
  </si>
  <si>
    <t>Northeast Region</t>
  </si>
  <si>
    <t>SU010</t>
  </si>
  <si>
    <t>Milton SD</t>
  </si>
  <si>
    <t>Suppressed</t>
  </si>
  <si>
    <t>SU011</t>
  </si>
  <si>
    <t>St. Johnsbury SD</t>
  </si>
  <si>
    <t>SU012</t>
  </si>
  <si>
    <t>Mt. Mansfield UUSD</t>
  </si>
  <si>
    <t>Exceeding</t>
  </si>
  <si>
    <t>SU014</t>
  </si>
  <si>
    <t>Champlain Valley SD</t>
  </si>
  <si>
    <t>SU015</t>
  </si>
  <si>
    <t>Burlington SD</t>
  </si>
  <si>
    <t>SU016</t>
  </si>
  <si>
    <t>South Burlington SD</t>
  </si>
  <si>
    <t>SU017</t>
  </si>
  <si>
    <t>Winooski SD</t>
  </si>
  <si>
    <t>Not Meeting</t>
  </si>
  <si>
    <t>SU019</t>
  </si>
  <si>
    <t>Essex North SU</t>
  </si>
  <si>
    <t>SU020</t>
  </si>
  <si>
    <t>Franklin Northeast SU</t>
  </si>
  <si>
    <t>SU021</t>
  </si>
  <si>
    <t>Missisquoi Valley SD</t>
  </si>
  <si>
    <t>SU022</t>
  </si>
  <si>
    <t>Franklin West SU</t>
  </si>
  <si>
    <t>SU023</t>
  </si>
  <si>
    <t>Maple Run USD</t>
  </si>
  <si>
    <t>SU024</t>
  </si>
  <si>
    <t>Grand Isle SU</t>
  </si>
  <si>
    <t>SU025</t>
  </si>
  <si>
    <t>Lamoille North SU</t>
  </si>
  <si>
    <t>Winooski Valley Region</t>
  </si>
  <si>
    <t>SU026</t>
  </si>
  <si>
    <t>Lamoille South SU</t>
  </si>
  <si>
    <t>SU027</t>
  </si>
  <si>
    <t>Orange East SU</t>
  </si>
  <si>
    <t>SU028</t>
  </si>
  <si>
    <t>Orange Southwest UUSD</t>
  </si>
  <si>
    <t>SU030</t>
  </si>
  <si>
    <t>White River Valley SU</t>
  </si>
  <si>
    <t>SU031</t>
  </si>
  <si>
    <t>North Country SU</t>
  </si>
  <si>
    <t>SU032</t>
  </si>
  <si>
    <t>Washington Central UUSD</t>
  </si>
  <si>
    <t>SU033</t>
  </si>
  <si>
    <t>Mill River UUSD</t>
  </si>
  <si>
    <t>SU034</t>
  </si>
  <si>
    <t>Orleans Central SU</t>
  </si>
  <si>
    <t>SU035</t>
  </si>
  <si>
    <t>Orleans Southwest SU</t>
  </si>
  <si>
    <t>SU036</t>
  </si>
  <si>
    <t>Rutland Northeast SU</t>
  </si>
  <si>
    <t>SU040</t>
  </si>
  <si>
    <t>Rutland City SD</t>
  </si>
  <si>
    <t>SU042</t>
  </si>
  <si>
    <t>Harwood UUSD</t>
  </si>
  <si>
    <t>SU046</t>
  </si>
  <si>
    <t>Windham Central SU</t>
  </si>
  <si>
    <t>Southeast Region</t>
  </si>
  <si>
    <t>SU047</t>
  </si>
  <si>
    <t>Windham Northeast SU</t>
  </si>
  <si>
    <t>SU048</t>
  </si>
  <si>
    <t>Windham Southeast SU</t>
  </si>
  <si>
    <t>SU049</t>
  </si>
  <si>
    <t>Windham Southwest SU</t>
  </si>
  <si>
    <t>SU051</t>
  </si>
  <si>
    <t>Mountain Views SU</t>
  </si>
  <si>
    <t>SU052</t>
  </si>
  <si>
    <t>Windsor Southeast SU</t>
  </si>
  <si>
    <t>SU054</t>
  </si>
  <si>
    <t>Hartford SD</t>
  </si>
  <si>
    <t>SU055</t>
  </si>
  <si>
    <t>SAU 70</t>
  </si>
  <si>
    <t>SU056</t>
  </si>
  <si>
    <t>Springfield SD</t>
  </si>
  <si>
    <t>SU061</t>
  </si>
  <si>
    <t>Barre UUSD</t>
  </si>
  <si>
    <t>SU063</t>
  </si>
  <si>
    <t>Two Rivers SU</t>
  </si>
  <si>
    <t>SU064</t>
  </si>
  <si>
    <t>Rivendell Interstate SD</t>
  </si>
  <si>
    <t>SU065</t>
  </si>
  <si>
    <t>Essex Westford ECUUSD</t>
  </si>
  <si>
    <t>SU066</t>
  </si>
  <si>
    <t>Greater Rutland County SU</t>
  </si>
  <si>
    <t>SU067</t>
  </si>
  <si>
    <t>Kingdom East SD</t>
  </si>
  <si>
    <t>SU068</t>
  </si>
  <si>
    <t>Central Vermont SU</t>
  </si>
  <si>
    <t>SU069</t>
  </si>
  <si>
    <t>Montpelier Roxbury SD</t>
  </si>
  <si>
    <t>SU070</t>
  </si>
  <si>
    <t>Lincoln (enrollment data corrected; Lincoln excl. as not in existance prior to SY24)</t>
  </si>
  <si>
    <t>State</t>
  </si>
  <si>
    <t>Row Labels</t>
  </si>
  <si>
    <t>SU name</t>
  </si>
  <si>
    <t>Sum of ADM, FY20</t>
  </si>
  <si>
    <t>Sum of ADM, FY21</t>
  </si>
  <si>
    <t>Sum of ADM, FY22</t>
  </si>
  <si>
    <t>Sum of ADM, FY23</t>
  </si>
  <si>
    <t>Sum of ADM, FY24</t>
  </si>
  <si>
    <t>Sum of LTADM, FY20</t>
  </si>
  <si>
    <t>Sum of LTADM, FY21</t>
  </si>
  <si>
    <t>Sum of LTADM, FY22</t>
  </si>
  <si>
    <t>Sum of LTADM, FY23</t>
  </si>
  <si>
    <t>Sum of LTADM,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</si>
</sst>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&quot;$&quot;#,##0"/>
    <numFmt numFmtId="166" formatCode="_(* #,##0.0_);_(* \(#,##0.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sz val="12"/>
      <color rgb="FF000000"/>
      <name val="Aptos Narrow"/>
    </font>
    <font>
      <b/>
      <sz val="12"/>
      <color rgb="FF000000"/>
      <name val="Aptos Narrow"/>
      <family val="2"/>
    </font>
    <font>
      <sz val="8"/>
      <name val="Aptos Narrow"/>
      <family val="2"/>
      <scheme val="minor"/>
    </font>
    <font>
      <b/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sz val="11"/>
      <color theme="1"/>
      <name val="Aptos Narrow"/>
      <scheme val="minor"/>
    </font>
    <font>
      <sz val="11"/>
      <name val="Aptos Narrow"/>
      <scheme val="minor"/>
    </font>
    <font>
      <b/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9" fontId="0" fillId="0" borderId="0" xfId="0" applyNumberFormat="1"/>
    <xf numFmtId="9" fontId="0" fillId="0" borderId="0" xfId="1" applyFon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horizontal="center" wrapText="1"/>
    </xf>
    <xf numFmtId="1" fontId="0" fillId="0" borderId="0" xfId="0" applyNumberFormat="1"/>
    <xf numFmtId="0" fontId="5" fillId="0" borderId="0" xfId="0" applyFont="1" applyAlignment="1">
      <alignment horizontal="center" wrapText="1"/>
    </xf>
    <xf numFmtId="1" fontId="4" fillId="0" borderId="0" xfId="0" applyNumberFormat="1" applyFont="1"/>
    <xf numFmtId="164" fontId="4" fillId="0" borderId="0" xfId="0" applyNumberFormat="1" applyFont="1"/>
    <xf numFmtId="9" fontId="4" fillId="0" borderId="0" xfId="0" applyNumberFormat="1" applyFont="1"/>
    <xf numFmtId="9" fontId="4" fillId="0" borderId="0" xfId="1" applyFont="1"/>
    <xf numFmtId="164" fontId="6" fillId="0" borderId="0" xfId="0" applyNumberFormat="1" applyFont="1"/>
    <xf numFmtId="0" fontId="4" fillId="0" borderId="0" xfId="0" applyFont="1"/>
    <xf numFmtId="9" fontId="3" fillId="0" borderId="0" xfId="1" applyFont="1" applyAlignment="1">
      <alignment horizontal="center" wrapText="1"/>
    </xf>
    <xf numFmtId="164" fontId="2" fillId="0" borderId="0" xfId="0" applyNumberFormat="1" applyFont="1"/>
    <xf numFmtId="0" fontId="0" fillId="0" borderId="0" xfId="0" applyAlignment="1">
      <alignment wrapText="1"/>
    </xf>
    <xf numFmtId="164" fontId="8" fillId="0" borderId="0" xfId="1" applyNumberFormat="1" applyFont="1"/>
    <xf numFmtId="164" fontId="0" fillId="2" borderId="0" xfId="1" applyNumberFormat="1" applyFont="1" applyFill="1"/>
    <xf numFmtId="0" fontId="0" fillId="2" borderId="0" xfId="0" applyFill="1"/>
    <xf numFmtId="164" fontId="4" fillId="2" borderId="0" xfId="1" applyNumberFormat="1" applyFont="1" applyFill="1"/>
    <xf numFmtId="1" fontId="0" fillId="2" borderId="0" xfId="0" applyNumberFormat="1" applyFill="1"/>
    <xf numFmtId="164" fontId="0" fillId="3" borderId="0" xfId="1" applyNumberFormat="1" applyFont="1" applyFill="1"/>
    <xf numFmtId="0" fontId="0" fillId="3" borderId="0" xfId="0" applyFill="1"/>
    <xf numFmtId="164" fontId="4" fillId="3" borderId="0" xfId="0" applyNumberFormat="1" applyFont="1" applyFill="1"/>
    <xf numFmtId="1" fontId="0" fillId="3" borderId="0" xfId="0" applyNumberFormat="1" applyFill="1"/>
    <xf numFmtId="0" fontId="0" fillId="2" borderId="0" xfId="0" applyFill="1" applyAlignment="1">
      <alignment horizontal="center" vertical="center" wrapText="1"/>
    </xf>
    <xf numFmtId="166" fontId="0" fillId="2" borderId="0" xfId="2" applyNumberFormat="1" applyFont="1" applyFill="1"/>
    <xf numFmtId="43" fontId="0" fillId="2" borderId="0" xfId="2" applyFont="1" applyFill="1"/>
    <xf numFmtId="166" fontId="4" fillId="2" borderId="0" xfId="0" applyNumberFormat="1" applyFont="1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165" fontId="0" fillId="2" borderId="0" xfId="1" applyNumberFormat="1" applyFont="1" applyFill="1"/>
    <xf numFmtId="165" fontId="0" fillId="2" borderId="0" xfId="0" applyNumberFormat="1" applyFill="1"/>
    <xf numFmtId="9" fontId="0" fillId="2" borderId="0" xfId="1" applyFont="1" applyFill="1"/>
    <xf numFmtId="0" fontId="3" fillId="2" borderId="0" xfId="0" applyFont="1" applyFill="1"/>
    <xf numFmtId="9" fontId="4" fillId="2" borderId="0" xfId="0" applyNumberFormat="1" applyFont="1" applyFill="1"/>
    <xf numFmtId="165" fontId="4" fillId="2" borderId="0" xfId="0" applyNumberFormat="1" applyFont="1" applyFill="1"/>
    <xf numFmtId="0" fontId="4" fillId="2" borderId="0" xfId="0" applyFont="1" applyFill="1"/>
    <xf numFmtId="165" fontId="3" fillId="2" borderId="0" xfId="0" applyNumberFormat="1" applyFont="1" applyFill="1"/>
    <xf numFmtId="0" fontId="5" fillId="2" borderId="0" xfId="0" applyFont="1" applyFill="1" applyAlignment="1">
      <alignment horizontal="center" wrapText="1"/>
    </xf>
    <xf numFmtId="1" fontId="4" fillId="2" borderId="0" xfId="0" applyNumberFormat="1" applyFont="1" applyFill="1"/>
    <xf numFmtId="1" fontId="0" fillId="0" borderId="0" xfId="1" applyNumberFormat="1" applyFont="1"/>
    <xf numFmtId="0" fontId="0" fillId="3" borderId="0" xfId="0" applyFill="1" applyAlignment="1">
      <alignment wrapText="1"/>
    </xf>
    <xf numFmtId="165" fontId="0" fillId="3" borderId="0" xfId="1" applyNumberFormat="1" applyFont="1" applyFill="1"/>
    <xf numFmtId="9" fontId="0" fillId="3" borderId="0" xfId="1" applyFont="1" applyFill="1"/>
    <xf numFmtId="9" fontId="4" fillId="3" borderId="0" xfId="0" applyNumberFormat="1" applyFont="1" applyFill="1"/>
    <xf numFmtId="0" fontId="2" fillId="3" borderId="0" xfId="0" applyFont="1" applyFill="1" applyAlignment="1">
      <alignment wrapText="1"/>
    </xf>
    <xf numFmtId="165" fontId="0" fillId="3" borderId="0" xfId="0" applyNumberFormat="1" applyFill="1"/>
    <xf numFmtId="0" fontId="4" fillId="3" borderId="0" xfId="0" applyFont="1" applyFill="1"/>
    <xf numFmtId="0" fontId="0" fillId="3" borderId="0" xfId="0" applyFill="1" applyAlignment="1">
      <alignment horizontal="center" vertical="center" wrapText="1"/>
    </xf>
    <xf numFmtId="166" fontId="0" fillId="3" borderId="0" xfId="2" applyNumberFormat="1" applyFont="1" applyFill="1"/>
    <xf numFmtId="43" fontId="0" fillId="3" borderId="0" xfId="2" applyFont="1" applyFill="1"/>
    <xf numFmtId="166" fontId="4" fillId="3" borderId="0" xfId="0" applyNumberFormat="1" applyFont="1" applyFill="1"/>
    <xf numFmtId="0" fontId="5" fillId="3" borderId="0" xfId="0" applyFont="1" applyFill="1" applyAlignment="1">
      <alignment horizontal="center" wrapText="1"/>
    </xf>
    <xf numFmtId="1" fontId="4" fillId="3" borderId="0" xfId="0" applyNumberFormat="1" applyFont="1" applyFill="1"/>
    <xf numFmtId="1" fontId="4" fillId="0" borderId="0" xfId="1" applyNumberFormat="1" applyFont="1"/>
    <xf numFmtId="165" fontId="4" fillId="3" borderId="0" xfId="0" applyNumberFormat="1" applyFont="1" applyFill="1"/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AOE%20Data/SY20.xlsx" TargetMode="External"/><Relationship Id="rId1" Type="http://schemas.openxmlformats.org/officeDocument/2006/relationships/externalLinkPath" Target="https://apaconsulting1.sharepoint.com/sites/VermontStakeholderEngagement/Shared%20Documents/AOE%20Data/SY2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October%20report%20updates/Expenditure%20Files/SpEd%20Expenditures%20raw%20data%2020-23%20for%20ADM%20by%20SU.xlsx" TargetMode="External"/><Relationship Id="rId1" Type="http://schemas.openxmlformats.org/officeDocument/2006/relationships/externalLinkPath" Target="https://apaconsulting1.sharepoint.com/sites/VermontStakeholderEngagement/Shared%20Documents/October%20report%20updates/Expenditure%20Files/SpEd%20Expenditures%20raw%20data%2020-23%20for%20ADM%20by%20SU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AOE%20Data/SY21.xlsx" TargetMode="External"/><Relationship Id="rId1" Type="http://schemas.openxmlformats.org/officeDocument/2006/relationships/externalLinkPath" Target="https://apaconsulting1.sharepoint.com/sites/VermontStakeholderEngagement/Shared%20Documents/AOE%20Data/SY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AOE%20Data/SY22.xlsx" TargetMode="External"/><Relationship Id="rId1" Type="http://schemas.openxmlformats.org/officeDocument/2006/relationships/externalLinkPath" Target="https://apaconsulting1.sharepoint.com/sites/VermontStakeholderEngagement/Shared%20Documents/AOE%20Data/SY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AOE%20Data/SY23.xlsx" TargetMode="External"/><Relationship Id="rId1" Type="http://schemas.openxmlformats.org/officeDocument/2006/relationships/externalLinkPath" Target="https://apaconsulting1.sharepoint.com/sites/VermontStakeholderEngagement/Shared%20Documents/AOE%20Data/SY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October%20report%20updates/Updated%20Staffing%20Calculations%20wout%20PreK.xlsx" TargetMode="External"/><Relationship Id="rId1" Type="http://schemas.openxmlformats.org/officeDocument/2006/relationships/externalLinkPath" Target="https://apaconsulting1.sharepoint.com/sites/VermontStakeholderEngagement/Shared%20Documents/October%20report%20updates/Updated%20Staffing%20Calculations%20wout%20PreK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October%20report%20updates/Object%20code%20analysis%2011.6.24,%20comparison.xlsx" TargetMode="External"/><Relationship Id="rId1" Type="http://schemas.openxmlformats.org/officeDocument/2006/relationships/externalLinkPath" Target="https://apaconsulting1.sharepoint.com/sites/VermontStakeholderEngagement/Shared%20Documents/October%20report%20updates/Object%20code%20analysis%2011.6.24,%20comparison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October%20report%20updates/Expenditure%20Files/Updated%2011.14/Total%20expenditures%20raw%20data%2020-23%20by%20SU,%20updated%2011.14.xlsx" TargetMode="External"/><Relationship Id="rId1" Type="http://schemas.openxmlformats.org/officeDocument/2006/relationships/externalLinkPath" Target="https://apaconsulting1.sharepoint.com/sites/VermontStakeholderEngagement/Shared%20Documents/October%20report%20updates/Expenditure%20Files/Updated%2011.14/Total%20expenditures%20raw%20data%2020-23%20by%20SU,%20updated%2011.1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October%20report%20updates/Expenditure%20Files/Updated%2011.14/Operating%20expenditures%20raw%20data%2020-23%20by%20SU,%20updated%2011.14.xlsx" TargetMode="External"/><Relationship Id="rId1" Type="http://schemas.openxmlformats.org/officeDocument/2006/relationships/externalLinkPath" Target="https://apaconsulting1.sharepoint.com/sites/VermontStakeholderEngagement/Shared%20Documents/October%20report%20updates/Expenditure%20Files/Updated%2011.14/Operating%20expenditures%20raw%20data%2020-23%20by%20SU,%20updated%2011.1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aconsulting1.sharepoint.com/sites/VermontStakeholderEngagement/Shared%20Documents/October%20report%20updates/Expenditure%20Files/Updated%2011.14/Gen%20Fund%20expenditures%20raw%20data%2020-23%20by%20SU,%20updated%2011.14.xlsx" TargetMode="External"/><Relationship Id="rId1" Type="http://schemas.openxmlformats.org/officeDocument/2006/relationships/externalLinkPath" Target="https://apaconsulting1.sharepoint.com/sites/VermontStakeholderEngagement/Shared%20Documents/October%20report%20updates/Expenditure%20Files/Updated%2011.14/Gen%20Fund%20expenditures%20raw%20data%2020-23%20by%20SU,%20updated%2011.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_SD IDEA 3-21"/>
      <sheetName val="sup School IDEA 6-21"/>
    </sheetNames>
    <sheetDataSet>
      <sheetData sheetId="0">
        <row r="1">
          <cell r="A1" t="str">
            <v>Related to Organization ID</v>
          </cell>
          <cell r="B1" t="str">
            <v>count</v>
          </cell>
        </row>
        <row r="2">
          <cell r="A2" t="str">
            <v>SU001</v>
          </cell>
          <cell r="B2">
            <v>187</v>
          </cell>
        </row>
        <row r="3">
          <cell r="A3" t="str">
            <v>SU002</v>
          </cell>
          <cell r="B3">
            <v>137</v>
          </cell>
        </row>
        <row r="4">
          <cell r="A4" t="str">
            <v>SU003</v>
          </cell>
          <cell r="B4">
            <v>247</v>
          </cell>
        </row>
        <row r="5">
          <cell r="A5" t="str">
            <v>SU004</v>
          </cell>
          <cell r="B5">
            <v>227</v>
          </cell>
        </row>
        <row r="6">
          <cell r="A6" t="str">
            <v>SU005</v>
          </cell>
          <cell r="B6">
            <v>664</v>
          </cell>
        </row>
        <row r="7">
          <cell r="A7" t="str">
            <v>SU006</v>
          </cell>
          <cell r="B7">
            <v>353</v>
          </cell>
        </row>
        <row r="8">
          <cell r="A8" t="str">
            <v>SU007</v>
          </cell>
          <cell r="B8">
            <v>348</v>
          </cell>
        </row>
        <row r="9">
          <cell r="A9" t="str">
            <v>SU009</v>
          </cell>
          <cell r="B9">
            <v>277</v>
          </cell>
        </row>
        <row r="10">
          <cell r="A10" t="str">
            <v>SU010</v>
          </cell>
          <cell r="B10">
            <v>334</v>
          </cell>
        </row>
        <row r="11">
          <cell r="A11" t="str">
            <v>SU011</v>
          </cell>
          <cell r="B11">
            <v>222</v>
          </cell>
        </row>
        <row r="12">
          <cell r="A12" t="str">
            <v>SU012</v>
          </cell>
          <cell r="B12">
            <v>397</v>
          </cell>
        </row>
        <row r="13">
          <cell r="A13" t="str">
            <v>SU014</v>
          </cell>
          <cell r="B13">
            <v>524</v>
          </cell>
        </row>
        <row r="14">
          <cell r="A14" t="str">
            <v>SU015</v>
          </cell>
          <cell r="B14">
            <v>692</v>
          </cell>
        </row>
        <row r="15">
          <cell r="A15" t="str">
            <v>SU016</v>
          </cell>
          <cell r="B15">
            <v>363</v>
          </cell>
        </row>
        <row r="16">
          <cell r="A16" t="str">
            <v>SU017</v>
          </cell>
          <cell r="B16">
            <v>213</v>
          </cell>
        </row>
        <row r="17">
          <cell r="A17" t="str">
            <v>SU019</v>
          </cell>
          <cell r="B17">
            <v>71</v>
          </cell>
        </row>
        <row r="18">
          <cell r="A18" t="str">
            <v>SU020</v>
          </cell>
          <cell r="B18">
            <v>345</v>
          </cell>
        </row>
        <row r="19">
          <cell r="A19" t="str">
            <v>SU021</v>
          </cell>
          <cell r="B19">
            <v>356</v>
          </cell>
        </row>
        <row r="20">
          <cell r="A20" t="str">
            <v>SU022</v>
          </cell>
          <cell r="B20">
            <v>347</v>
          </cell>
        </row>
        <row r="21">
          <cell r="A21" t="str">
            <v>SU023</v>
          </cell>
          <cell r="B21">
            <v>607</v>
          </cell>
        </row>
        <row r="22">
          <cell r="A22" t="str">
            <v>SU024</v>
          </cell>
          <cell r="B22">
            <v>164</v>
          </cell>
        </row>
        <row r="23">
          <cell r="A23" t="str">
            <v>SU025</v>
          </cell>
          <cell r="B23">
            <v>325</v>
          </cell>
        </row>
        <row r="24">
          <cell r="A24" t="str">
            <v>SU026</v>
          </cell>
          <cell r="B24">
            <v>225</v>
          </cell>
        </row>
        <row r="25">
          <cell r="A25" t="str">
            <v>SU027</v>
          </cell>
          <cell r="B25">
            <v>382</v>
          </cell>
        </row>
        <row r="26">
          <cell r="A26" t="str">
            <v>SU028</v>
          </cell>
          <cell r="B26">
            <v>187</v>
          </cell>
        </row>
        <row r="27">
          <cell r="A27" t="str">
            <v>SU030</v>
          </cell>
          <cell r="B27">
            <v>263</v>
          </cell>
        </row>
        <row r="28">
          <cell r="A28" t="str">
            <v>SU031</v>
          </cell>
          <cell r="B28">
            <v>677</v>
          </cell>
        </row>
        <row r="29">
          <cell r="A29" t="str">
            <v>SU032</v>
          </cell>
          <cell r="B29">
            <v>268</v>
          </cell>
        </row>
        <row r="30">
          <cell r="A30" t="str">
            <v>SU033</v>
          </cell>
          <cell r="B30">
            <v>128</v>
          </cell>
        </row>
        <row r="31">
          <cell r="A31" t="str">
            <v>SU034</v>
          </cell>
          <cell r="B31">
            <v>261</v>
          </cell>
        </row>
        <row r="32">
          <cell r="A32" t="str">
            <v>SU035</v>
          </cell>
          <cell r="B32">
            <v>213</v>
          </cell>
        </row>
        <row r="33">
          <cell r="A33" t="str">
            <v>SU036</v>
          </cell>
          <cell r="B33">
            <v>216</v>
          </cell>
        </row>
        <row r="34">
          <cell r="A34" t="str">
            <v>SU040</v>
          </cell>
          <cell r="B34">
            <v>391</v>
          </cell>
        </row>
        <row r="35">
          <cell r="A35" t="str">
            <v>SU042</v>
          </cell>
          <cell r="B35">
            <v>282</v>
          </cell>
        </row>
        <row r="36">
          <cell r="A36" t="str">
            <v>SU046</v>
          </cell>
          <cell r="B36">
            <v>210</v>
          </cell>
        </row>
        <row r="37">
          <cell r="A37" t="str">
            <v>SU047</v>
          </cell>
          <cell r="B37">
            <v>265</v>
          </cell>
        </row>
        <row r="38">
          <cell r="A38" t="str">
            <v>SU048</v>
          </cell>
          <cell r="B38">
            <v>470</v>
          </cell>
        </row>
        <row r="39">
          <cell r="A39" t="str">
            <v>SU049</v>
          </cell>
          <cell r="B39">
            <v>135</v>
          </cell>
        </row>
        <row r="40">
          <cell r="A40" t="str">
            <v>SU051</v>
          </cell>
          <cell r="B40">
            <v>118</v>
          </cell>
        </row>
        <row r="41">
          <cell r="A41" t="str">
            <v>SU052</v>
          </cell>
          <cell r="B41">
            <v>279</v>
          </cell>
        </row>
        <row r="42">
          <cell r="A42" t="str">
            <v>SU054</v>
          </cell>
          <cell r="B42">
            <v>306</v>
          </cell>
        </row>
        <row r="43">
          <cell r="A43" t="str">
            <v>SU055</v>
          </cell>
          <cell r="B43">
            <v>41</v>
          </cell>
        </row>
        <row r="44">
          <cell r="A44" t="str">
            <v>SU056</v>
          </cell>
          <cell r="B44">
            <v>314</v>
          </cell>
        </row>
        <row r="45">
          <cell r="A45" t="str">
            <v>SU060</v>
          </cell>
          <cell r="B45">
            <v>78</v>
          </cell>
        </row>
        <row r="46">
          <cell r="A46" t="str">
            <v>SU061</v>
          </cell>
          <cell r="B46">
            <v>539</v>
          </cell>
        </row>
        <row r="47">
          <cell r="A47" t="str">
            <v>SU063</v>
          </cell>
          <cell r="B47">
            <v>230</v>
          </cell>
        </row>
        <row r="48">
          <cell r="A48" t="str">
            <v>SU064</v>
          </cell>
          <cell r="B48">
            <v>91</v>
          </cell>
        </row>
        <row r="49">
          <cell r="A49" t="str">
            <v>SU065</v>
          </cell>
          <cell r="B49">
            <v>584</v>
          </cell>
        </row>
        <row r="50">
          <cell r="A50" t="str">
            <v>SU066</v>
          </cell>
          <cell r="B50">
            <v>311</v>
          </cell>
        </row>
        <row r="51">
          <cell r="A51" t="str">
            <v>SU067</v>
          </cell>
          <cell r="B51">
            <v>338</v>
          </cell>
        </row>
        <row r="52">
          <cell r="A52" t="str">
            <v>SU068</v>
          </cell>
          <cell r="B52">
            <v>229</v>
          </cell>
        </row>
        <row r="53">
          <cell r="A53" t="str">
            <v>SU069</v>
          </cell>
          <cell r="B53">
            <v>124</v>
          </cell>
        </row>
        <row r="54">
          <cell r="A54" t="str">
            <v>State Totals</v>
          </cell>
          <cell r="B54">
            <v>15555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s"/>
      <sheetName val="Chart"/>
      <sheetName val="FY20Pivot"/>
      <sheetName val="FY20"/>
      <sheetName val="FY21Pivot"/>
      <sheetName val="FY21"/>
      <sheetName val="FY22Pivot"/>
      <sheetName val="FY22"/>
      <sheetName val="FY23Pivot"/>
      <sheetName val="FY23"/>
    </sheetNames>
    <sheetDataSet>
      <sheetData sheetId="0">
        <row r="3">
          <cell r="AF3" t="str">
            <v>SU001</v>
          </cell>
          <cell r="AG3">
            <v>6113562.1900000013</v>
          </cell>
          <cell r="AH3">
            <v>5898057.1499999976</v>
          </cell>
          <cell r="AI3">
            <v>6067816.629999998</v>
          </cell>
          <cell r="AJ3">
            <v>6382211.2740414487</v>
          </cell>
        </row>
        <row r="4">
          <cell r="AF4" t="str">
            <v>SU002</v>
          </cell>
          <cell r="AG4">
            <v>4581127</v>
          </cell>
          <cell r="AH4">
            <v>4778676</v>
          </cell>
          <cell r="AI4">
            <v>4800937</v>
          </cell>
          <cell r="AJ4">
            <v>5003793.4929577466</v>
          </cell>
        </row>
        <row r="5">
          <cell r="AF5" t="str">
            <v>SU003</v>
          </cell>
          <cell r="AG5">
            <v>5133529.620000001</v>
          </cell>
          <cell r="AH5">
            <v>5203345.4800000014</v>
          </cell>
          <cell r="AI5">
            <v>5216325.4799999977</v>
          </cell>
          <cell r="AJ5">
            <v>5371046.9984745737</v>
          </cell>
        </row>
        <row r="6">
          <cell r="AF6" t="str">
            <v>SU004</v>
          </cell>
          <cell r="AG6">
            <v>5124056.55</v>
          </cell>
          <cell r="AH6">
            <v>4573535.080000001</v>
          </cell>
          <cell r="AI6">
            <v>5302716.8199999994</v>
          </cell>
          <cell r="AJ6">
            <v>5477806.5263207546</v>
          </cell>
        </row>
        <row r="7">
          <cell r="AF7" t="str">
            <v>SU005</v>
          </cell>
          <cell r="AG7">
            <v>16159131.739999995</v>
          </cell>
          <cell r="AH7">
            <v>15491901.899999997</v>
          </cell>
          <cell r="AI7">
            <v>18594752.149999991</v>
          </cell>
          <cell r="AJ7">
            <v>18820294.965835571</v>
          </cell>
        </row>
        <row r="8">
          <cell r="AF8" t="str">
            <v>SU006</v>
          </cell>
          <cell r="AG8">
            <v>10517275.689999996</v>
          </cell>
          <cell r="AH8">
            <v>10124167.719999991</v>
          </cell>
          <cell r="AI8">
            <v>11135444.390000008</v>
          </cell>
          <cell r="AJ8">
            <v>11895430.208902085</v>
          </cell>
        </row>
        <row r="9">
          <cell r="AF9" t="str">
            <v>SU007</v>
          </cell>
          <cell r="AG9">
            <v>9761958.0799999945</v>
          </cell>
          <cell r="AH9">
            <v>10011610.799999995</v>
          </cell>
          <cell r="AI9">
            <v>11519173.070000002</v>
          </cell>
          <cell r="AJ9">
            <v>12025510.347802199</v>
          </cell>
        </row>
        <row r="10">
          <cell r="AF10" t="str">
            <v>SU009</v>
          </cell>
          <cell r="AG10">
            <v>8748598</v>
          </cell>
          <cell r="AH10">
            <v>11334539</v>
          </cell>
          <cell r="AI10">
            <v>10513195</v>
          </cell>
          <cell r="AJ10">
            <v>10732219.895833334</v>
          </cell>
        </row>
        <row r="11">
          <cell r="AF11" t="str">
            <v>SU010</v>
          </cell>
          <cell r="AG11">
            <v>9267292.8300000001</v>
          </cell>
          <cell r="AH11">
            <v>8972052.3500000034</v>
          </cell>
          <cell r="AI11">
            <v>8805196.1300000027</v>
          </cell>
          <cell r="AJ11">
            <v>8622839.9971301798</v>
          </cell>
        </row>
        <row r="12">
          <cell r="AF12" t="str">
            <v>SU011</v>
          </cell>
          <cell r="AG12">
            <v>5756273.6999999983</v>
          </cell>
          <cell r="AH12">
            <v>6056698.1700000018</v>
          </cell>
          <cell r="AI12">
            <v>6462557.0599999996</v>
          </cell>
          <cell r="AJ12">
            <v>6748051.548594377</v>
          </cell>
        </row>
        <row r="13">
          <cell r="AF13" t="str">
            <v>SU012</v>
          </cell>
          <cell r="AG13">
            <v>11639246.920000006</v>
          </cell>
          <cell r="AH13">
            <v>11277215.48</v>
          </cell>
          <cell r="AI13">
            <v>10975566.569999997</v>
          </cell>
          <cell r="AJ13">
            <v>11265925.473968251</v>
          </cell>
        </row>
        <row r="14">
          <cell r="AF14" t="str">
            <v>SU014</v>
          </cell>
          <cell r="AG14">
            <v>17077002.000000004</v>
          </cell>
          <cell r="AH14">
            <v>17079339.960000001</v>
          </cell>
          <cell r="AI14">
            <v>18679883.629999999</v>
          </cell>
          <cell r="AJ14">
            <v>18273799.203260865</v>
          </cell>
        </row>
        <row r="15">
          <cell r="AF15" t="str">
            <v>SU015</v>
          </cell>
          <cell r="AG15">
            <v>18975914.680000007</v>
          </cell>
          <cell r="AH15">
            <v>18206733.279999997</v>
          </cell>
          <cell r="AI15">
            <v>19540279.819999997</v>
          </cell>
          <cell r="AJ15">
            <v>18543982.658124994</v>
          </cell>
        </row>
        <row r="16">
          <cell r="AF16" t="str">
            <v>SU016</v>
          </cell>
          <cell r="AG16">
            <v>12031517.12999999</v>
          </cell>
          <cell r="AH16">
            <v>11846906.350000003</v>
          </cell>
          <cell r="AI16">
            <v>13647080.550000006</v>
          </cell>
          <cell r="AJ16">
            <v>14332863.492211062</v>
          </cell>
        </row>
        <row r="17">
          <cell r="AF17" t="str">
            <v>SU017</v>
          </cell>
          <cell r="AG17">
            <v>5396321</v>
          </cell>
          <cell r="AH17">
            <v>5701857</v>
          </cell>
          <cell r="AI17">
            <v>6070915</v>
          </cell>
          <cell r="AJ17">
            <v>5935403.5044642864</v>
          </cell>
        </row>
        <row r="18">
          <cell r="AF18" t="str">
            <v>SU019</v>
          </cell>
          <cell r="AG18">
            <v>1598840.8799999983</v>
          </cell>
          <cell r="AH18">
            <v>1640027.0499999996</v>
          </cell>
          <cell r="AI18">
            <v>2504230.4500000002</v>
          </cell>
          <cell r="AJ18">
            <v>2232687.389156627</v>
          </cell>
        </row>
        <row r="19">
          <cell r="AF19" t="str">
            <v>SU020</v>
          </cell>
          <cell r="AG19">
            <v>7351345.5599999977</v>
          </cell>
          <cell r="AH19">
            <v>6886542.0200000014</v>
          </cell>
          <cell r="AI19">
            <v>7685904.6500000022</v>
          </cell>
          <cell r="AJ19">
            <v>7228410.3255952401</v>
          </cell>
        </row>
        <row r="20">
          <cell r="AF20" t="str">
            <v>SU021</v>
          </cell>
          <cell r="AG20">
            <v>8229675.2199999969</v>
          </cell>
          <cell r="AH20">
            <v>7848763.5500000026</v>
          </cell>
          <cell r="AI20">
            <v>8175660.9799999995</v>
          </cell>
          <cell r="AJ20">
            <v>8516313.5208333321</v>
          </cell>
        </row>
        <row r="21">
          <cell r="AF21" t="str">
            <v>SU022</v>
          </cell>
          <cell r="AG21">
            <v>6783662.5800000001</v>
          </cell>
          <cell r="AH21">
            <v>7644579.5599999968</v>
          </cell>
          <cell r="AI21">
            <v>7561632.0900000008</v>
          </cell>
          <cell r="AJ21">
            <v>7363221.9185422752</v>
          </cell>
        </row>
        <row r="22">
          <cell r="AF22" t="str">
            <v>SU023</v>
          </cell>
          <cell r="AG22">
            <v>13111572.170000002</v>
          </cell>
          <cell r="AH22">
            <v>13048703.090000002</v>
          </cell>
          <cell r="AI22">
            <v>12559705.389999993</v>
          </cell>
          <cell r="AJ22">
            <v>12320265.599202765</v>
          </cell>
        </row>
        <row r="23">
          <cell r="AF23" t="str">
            <v>SU024</v>
          </cell>
          <cell r="AG23">
            <v>5844251.040000001</v>
          </cell>
          <cell r="AH23">
            <v>2349398.34</v>
          </cell>
          <cell r="AI23">
            <v>6179521.2599999979</v>
          </cell>
          <cell r="AJ23">
            <v>5369092.2422950799</v>
          </cell>
        </row>
        <row r="24">
          <cell r="AF24" t="str">
            <v>SU025</v>
          </cell>
          <cell r="AG24">
            <v>7657273.5699999994</v>
          </cell>
          <cell r="AH24">
            <v>7324427.6999999965</v>
          </cell>
          <cell r="AI24">
            <v>7793911.1999999927</v>
          </cell>
          <cell r="AJ24">
            <v>7492361.0642857077</v>
          </cell>
        </row>
        <row r="25">
          <cell r="AF25" t="str">
            <v>SU026</v>
          </cell>
          <cell r="AG25">
            <v>5791485.4199999971</v>
          </cell>
          <cell r="AH25">
            <v>4880467.5899999989</v>
          </cell>
          <cell r="AI25">
            <v>5705075.2799999993</v>
          </cell>
          <cell r="AJ25">
            <v>6191764.1664454974</v>
          </cell>
        </row>
        <row r="26">
          <cell r="AF26" t="str">
            <v>SU027</v>
          </cell>
          <cell r="AG26">
            <v>10831708.45999999</v>
          </cell>
          <cell r="AH26">
            <v>8777932.290000001</v>
          </cell>
          <cell r="AI26">
            <v>9732584.5300000031</v>
          </cell>
          <cell r="AJ26">
            <v>10095740.669179108</v>
          </cell>
        </row>
        <row r="27">
          <cell r="AF27" t="str">
            <v>SU028</v>
          </cell>
          <cell r="AG27">
            <v>3430749.6199999987</v>
          </cell>
          <cell r="AH27">
            <v>4015752.4100000006</v>
          </cell>
          <cell r="AI27">
            <v>4090433.7700000005</v>
          </cell>
          <cell r="AJ27">
            <v>3977438.3619889505</v>
          </cell>
        </row>
        <row r="28">
          <cell r="AF28" t="str">
            <v>SU030</v>
          </cell>
          <cell r="AG28">
            <v>7406778.8500000006</v>
          </cell>
          <cell r="AH28">
            <v>7023154.3000000007</v>
          </cell>
          <cell r="AI28">
            <v>7020465.3199999994</v>
          </cell>
          <cell r="AJ28">
            <v>7443384.9175903611</v>
          </cell>
        </row>
        <row r="29">
          <cell r="AF29" t="str">
            <v>SU031</v>
          </cell>
          <cell r="AG29">
            <v>15122408.160000004</v>
          </cell>
          <cell r="AH29">
            <v>15978075.919999996</v>
          </cell>
          <cell r="AI29">
            <v>17209010.470000003</v>
          </cell>
          <cell r="AJ29">
            <v>16702863.103235297</v>
          </cell>
        </row>
        <row r="30">
          <cell r="AF30" t="str">
            <v>SU032</v>
          </cell>
          <cell r="AG30">
            <v>6307653.8799999999</v>
          </cell>
          <cell r="AH30">
            <v>7086122.9399999995</v>
          </cell>
          <cell r="AI30">
            <v>7135703.3999999994</v>
          </cell>
          <cell r="AJ30">
            <v>7075486.4936708855</v>
          </cell>
        </row>
        <row r="31">
          <cell r="AF31" t="str">
            <v>SU033</v>
          </cell>
          <cell r="AG31">
            <v>4056518.7000000011</v>
          </cell>
          <cell r="AH31">
            <v>3849422.6200000006</v>
          </cell>
          <cell r="AI31">
            <v>4220270.6099999994</v>
          </cell>
          <cell r="AJ31">
            <v>4685215.6772033898</v>
          </cell>
        </row>
        <row r="32">
          <cell r="AF32" t="str">
            <v>SU034</v>
          </cell>
          <cell r="AG32">
            <v>9744769.3599999994</v>
          </cell>
          <cell r="AH32">
            <v>5217692.080000001</v>
          </cell>
          <cell r="AI32">
            <v>5387817.830000001</v>
          </cell>
          <cell r="AJ32">
            <v>5366853.5582879391</v>
          </cell>
        </row>
        <row r="33">
          <cell r="AF33" t="str">
            <v>SU035</v>
          </cell>
          <cell r="AG33">
            <v>6260515.5999999912</v>
          </cell>
          <cell r="AH33">
            <v>5384883.0599999977</v>
          </cell>
          <cell r="AI33">
            <v>5596086.0400000038</v>
          </cell>
          <cell r="AJ33">
            <v>5501637.3304641386</v>
          </cell>
        </row>
        <row r="34">
          <cell r="AF34" t="str">
            <v>SU036</v>
          </cell>
          <cell r="AG34">
            <v>6302998.1900000004</v>
          </cell>
          <cell r="AH34">
            <v>6023332.7200000007</v>
          </cell>
          <cell r="AI34">
            <v>6157252.9900000012</v>
          </cell>
          <cell r="AJ34">
            <v>6004845.7377722785</v>
          </cell>
        </row>
        <row r="35">
          <cell r="AF35" t="str">
            <v>SU040</v>
          </cell>
          <cell r="AG35">
            <v>10937636.760000002</v>
          </cell>
          <cell r="AH35">
            <v>11085389.360000007</v>
          </cell>
          <cell r="AI35">
            <v>11175058.459999999</v>
          </cell>
          <cell r="AJ35">
            <v>10620682.191749347</v>
          </cell>
        </row>
        <row r="36">
          <cell r="AF36" t="str">
            <v>SU042</v>
          </cell>
          <cell r="AG36">
            <v>8094133.549999997</v>
          </cell>
          <cell r="AH36">
            <v>8499386.0399999972</v>
          </cell>
          <cell r="AI36">
            <v>9129365.0400000047</v>
          </cell>
          <cell r="AJ36">
            <v>9740251.9200000055</v>
          </cell>
        </row>
        <row r="37">
          <cell r="AF37" t="str">
            <v>SU046</v>
          </cell>
          <cell r="AG37">
            <v>5924799.9900000002</v>
          </cell>
          <cell r="AH37">
            <v>5959043.1600000001</v>
          </cell>
          <cell r="AI37">
            <v>5926974.3299999982</v>
          </cell>
          <cell r="AJ37">
            <v>6202647.5546511607</v>
          </cell>
        </row>
        <row r="38">
          <cell r="AF38" t="str">
            <v>SU047</v>
          </cell>
          <cell r="AG38">
            <v>6980789.9900000002</v>
          </cell>
          <cell r="AH38">
            <v>7475525.8600000013</v>
          </cell>
          <cell r="AI38">
            <v>8025046.7200000007</v>
          </cell>
          <cell r="AJ38">
            <v>8385354.9400816336</v>
          </cell>
        </row>
        <row r="39">
          <cell r="AF39" t="str">
            <v>SU048</v>
          </cell>
          <cell r="AG39">
            <v>12644556</v>
          </cell>
          <cell r="AH39">
            <v>12622078</v>
          </cell>
          <cell r="AI39">
            <v>14651005</v>
          </cell>
          <cell r="AJ39">
            <v>15389981.129385965</v>
          </cell>
        </row>
        <row r="40">
          <cell r="AF40" t="str">
            <v>SU049</v>
          </cell>
          <cell r="AG40">
            <v>4271772.2399999993</v>
          </cell>
          <cell r="AH40">
            <v>3691115.790000001</v>
          </cell>
          <cell r="AI40">
            <v>4201293.13</v>
          </cell>
          <cell r="AJ40">
            <v>4131850.2683471073</v>
          </cell>
        </row>
        <row r="41">
          <cell r="AF41" t="str">
            <v>SU051</v>
          </cell>
          <cell r="AG41">
            <v>3729793.3399999994</v>
          </cell>
          <cell r="AH41">
            <v>3765403.2399999998</v>
          </cell>
          <cell r="AI41">
            <v>3933378.42</v>
          </cell>
          <cell r="AJ41">
            <v>4314027.9445161289</v>
          </cell>
        </row>
        <row r="42">
          <cell r="AF42" t="str">
            <v>SU052</v>
          </cell>
          <cell r="AG42">
            <v>7702113.9699999997</v>
          </cell>
          <cell r="AH42">
            <v>7525082.7700000005</v>
          </cell>
          <cell r="AI42">
            <v>7955542.0600000005</v>
          </cell>
          <cell r="AJ42">
            <v>7836357.9092883896</v>
          </cell>
        </row>
        <row r="43">
          <cell r="AF43" t="str">
            <v>SU054</v>
          </cell>
          <cell r="AG43">
            <v>10550512</v>
          </cell>
          <cell r="AH43">
            <v>10170292</v>
          </cell>
          <cell r="AI43">
            <v>11181856.890000001</v>
          </cell>
          <cell r="AJ43">
            <v>11048209.198087649</v>
          </cell>
        </row>
        <row r="44">
          <cell r="AF44" t="str">
            <v>SU055</v>
          </cell>
          <cell r="AG44">
            <v>1273749</v>
          </cell>
          <cell r="AH44">
            <v>1271057.45</v>
          </cell>
          <cell r="AI44">
            <v>738947.12</v>
          </cell>
          <cell r="AJ44">
            <v>701052.39589743596</v>
          </cell>
        </row>
        <row r="45">
          <cell r="AF45" t="str">
            <v>SU056</v>
          </cell>
          <cell r="AG45">
            <v>8387188.5299999975</v>
          </cell>
          <cell r="AH45">
            <v>8087460.2200000007</v>
          </cell>
          <cell r="AI45">
            <v>9000005.3200000003</v>
          </cell>
          <cell r="AJ45">
            <v>9080362.5103571434</v>
          </cell>
        </row>
        <row r="46">
          <cell r="AF46" t="str">
            <v>SU060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7">
          <cell r="AF47" t="str">
            <v>SU061</v>
          </cell>
          <cell r="AG47">
            <v>13023114.940000007</v>
          </cell>
          <cell r="AH47">
            <v>12885108.115000002</v>
          </cell>
          <cell r="AI47">
            <v>13255480.579999998</v>
          </cell>
          <cell r="AJ47">
            <v>14022122.180708952</v>
          </cell>
        </row>
        <row r="48">
          <cell r="AF48" t="str">
            <v>SU063</v>
          </cell>
          <cell r="AG48">
            <v>6106897.8500000015</v>
          </cell>
          <cell r="AH48">
            <v>6089844.3600000031</v>
          </cell>
          <cell r="AI48">
            <v>7436513.7500000028</v>
          </cell>
          <cell r="AJ48">
            <v>7497972.541322317</v>
          </cell>
        </row>
        <row r="49">
          <cell r="AF49" t="str">
            <v>SU064</v>
          </cell>
          <cell r="AG49">
            <v>2861562.95</v>
          </cell>
          <cell r="AH49">
            <v>2461491.08</v>
          </cell>
          <cell r="AI49">
            <v>3015633.7200000007</v>
          </cell>
          <cell r="AJ49">
            <v>3490003.0692134835</v>
          </cell>
        </row>
        <row r="50">
          <cell r="AF50" t="str">
            <v>SU065</v>
          </cell>
          <cell r="AG50">
            <v>17715858.899999999</v>
          </cell>
          <cell r="AH50">
            <v>18008113.550000004</v>
          </cell>
          <cell r="AI50">
            <v>18863718.380000006</v>
          </cell>
          <cell r="AJ50">
            <v>18894541.449248374</v>
          </cell>
        </row>
        <row r="51">
          <cell r="AF51" t="str">
            <v>SU066</v>
          </cell>
          <cell r="AG51">
            <v>7017140.3699999973</v>
          </cell>
          <cell r="AH51">
            <v>6482682.0100000007</v>
          </cell>
          <cell r="AI51">
            <v>6560718.8299999963</v>
          </cell>
          <cell r="AJ51">
            <v>7030868.0621172599</v>
          </cell>
        </row>
        <row r="52">
          <cell r="AF52" t="str">
            <v>SU067</v>
          </cell>
          <cell r="AG52">
            <v>12310191.299999999</v>
          </cell>
          <cell r="AH52">
            <v>7791283.6600000001</v>
          </cell>
          <cell r="AI52">
            <v>8352999.1899999985</v>
          </cell>
          <cell r="AJ52">
            <v>8834358.4653559308</v>
          </cell>
        </row>
        <row r="53">
          <cell r="AF53" t="str">
            <v>SU068</v>
          </cell>
          <cell r="AG53">
            <v>5165433.4499999983</v>
          </cell>
          <cell r="AH53">
            <v>6428231.6100000013</v>
          </cell>
          <cell r="AI53">
            <v>7055972.8500000006</v>
          </cell>
          <cell r="AJ53">
            <v>6999298.3692771094</v>
          </cell>
        </row>
        <row r="54">
          <cell r="AF54" t="str">
            <v>SU069</v>
          </cell>
          <cell r="AG54">
            <v>4266726.5900000008</v>
          </cell>
          <cell r="AH54">
            <v>3710574.8499999996</v>
          </cell>
          <cell r="AI54">
            <v>4231363.1900000013</v>
          </cell>
          <cell r="AJ54">
            <v>4325393.4831111124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_SD IDEA 3-21"/>
      <sheetName val="sup School IDEA 5inKand6-21"/>
    </sheetNames>
    <sheetDataSet>
      <sheetData sheetId="0">
        <row r="1">
          <cell r="A1" t="str">
            <v>Related to Organization ID</v>
          </cell>
          <cell r="B1" t="str">
            <v>count</v>
          </cell>
        </row>
        <row r="2">
          <cell r="A2" t="str">
            <v>SU001</v>
          </cell>
          <cell r="B2">
            <v>184</v>
          </cell>
        </row>
        <row r="3">
          <cell r="A3" t="str">
            <v>SU002</v>
          </cell>
          <cell r="B3">
            <v>143</v>
          </cell>
        </row>
        <row r="4">
          <cell r="A4" t="str">
            <v>SU003</v>
          </cell>
          <cell r="B4">
            <v>249</v>
          </cell>
        </row>
        <row r="5">
          <cell r="A5" t="str">
            <v>SU004</v>
          </cell>
          <cell r="B5">
            <v>203</v>
          </cell>
        </row>
        <row r="6">
          <cell r="A6" t="str">
            <v>SU005</v>
          </cell>
          <cell r="B6">
            <v>653</v>
          </cell>
        </row>
        <row r="7">
          <cell r="A7" t="str">
            <v>SU006</v>
          </cell>
          <cell r="B7">
            <v>336</v>
          </cell>
        </row>
        <row r="8">
          <cell r="A8" t="str">
            <v>SU007</v>
          </cell>
          <cell r="B8">
            <v>348</v>
          </cell>
        </row>
        <row r="9">
          <cell r="A9" t="str">
            <v>SU009</v>
          </cell>
          <cell r="B9">
            <v>262</v>
          </cell>
        </row>
        <row r="10">
          <cell r="A10" t="str">
            <v>SU010</v>
          </cell>
          <cell r="B10">
            <v>340</v>
          </cell>
        </row>
        <row r="11">
          <cell r="A11" t="str">
            <v>SU011</v>
          </cell>
          <cell r="B11">
            <v>229</v>
          </cell>
        </row>
        <row r="12">
          <cell r="A12" t="str">
            <v>SU012</v>
          </cell>
          <cell r="B12">
            <v>385</v>
          </cell>
        </row>
        <row r="13">
          <cell r="A13" t="str">
            <v>SU014</v>
          </cell>
          <cell r="B13">
            <v>535</v>
          </cell>
        </row>
        <row r="14">
          <cell r="A14" t="str">
            <v>SU015</v>
          </cell>
          <cell r="B14">
            <v>707</v>
          </cell>
        </row>
        <row r="15">
          <cell r="A15" t="str">
            <v>SU016</v>
          </cell>
          <cell r="B15">
            <v>399</v>
          </cell>
        </row>
        <row r="16">
          <cell r="A16" t="str">
            <v>SU017</v>
          </cell>
          <cell r="B16">
            <v>226</v>
          </cell>
        </row>
        <row r="17">
          <cell r="A17" t="str">
            <v>SU019</v>
          </cell>
          <cell r="B17">
            <v>70</v>
          </cell>
        </row>
        <row r="18">
          <cell r="A18" t="str">
            <v>SU020</v>
          </cell>
          <cell r="B18">
            <v>347</v>
          </cell>
        </row>
        <row r="19">
          <cell r="A19" t="str">
            <v>SU021</v>
          </cell>
          <cell r="B19">
            <v>362</v>
          </cell>
        </row>
        <row r="20">
          <cell r="A20" t="str">
            <v>SU022</v>
          </cell>
          <cell r="B20">
            <v>338</v>
          </cell>
        </row>
        <row r="21">
          <cell r="A21" t="str">
            <v>SU023</v>
          </cell>
          <cell r="B21">
            <v>569</v>
          </cell>
        </row>
        <row r="22">
          <cell r="A22" t="str">
            <v>SU024</v>
          </cell>
          <cell r="B22">
            <v>161</v>
          </cell>
        </row>
        <row r="23">
          <cell r="A23" t="str">
            <v>SU025</v>
          </cell>
          <cell r="B23">
            <v>334</v>
          </cell>
        </row>
        <row r="24">
          <cell r="A24" t="str">
            <v>SU026</v>
          </cell>
          <cell r="B24">
            <v>198</v>
          </cell>
        </row>
        <row r="25">
          <cell r="A25" t="str">
            <v>SU027</v>
          </cell>
          <cell r="B25">
            <v>390</v>
          </cell>
        </row>
        <row r="26">
          <cell r="A26" t="str">
            <v>SU028</v>
          </cell>
          <cell r="B26">
            <v>185</v>
          </cell>
        </row>
        <row r="27">
          <cell r="A27" t="str">
            <v>SU030</v>
          </cell>
          <cell r="B27">
            <v>239</v>
          </cell>
        </row>
        <row r="28">
          <cell r="A28" t="str">
            <v>SU031</v>
          </cell>
          <cell r="B28">
            <v>635</v>
          </cell>
        </row>
        <row r="29">
          <cell r="A29" t="str">
            <v>SU032</v>
          </cell>
          <cell r="B29">
            <v>245</v>
          </cell>
        </row>
        <row r="30">
          <cell r="A30" t="str">
            <v>SU033</v>
          </cell>
          <cell r="B30">
            <v>99</v>
          </cell>
        </row>
        <row r="31">
          <cell r="A31" t="str">
            <v>SU034</v>
          </cell>
          <cell r="B31">
            <v>243</v>
          </cell>
        </row>
        <row r="32">
          <cell r="A32" t="str">
            <v>SU035</v>
          </cell>
          <cell r="B32">
            <v>213</v>
          </cell>
        </row>
        <row r="33">
          <cell r="A33" t="str">
            <v>SU036</v>
          </cell>
          <cell r="B33">
            <v>208</v>
          </cell>
        </row>
        <row r="34">
          <cell r="A34" t="str">
            <v>SU040</v>
          </cell>
          <cell r="B34">
            <v>390</v>
          </cell>
        </row>
        <row r="35">
          <cell r="A35" t="str">
            <v>SU042</v>
          </cell>
          <cell r="B35">
            <v>267</v>
          </cell>
        </row>
        <row r="36">
          <cell r="A36" t="str">
            <v>SU046</v>
          </cell>
          <cell r="B36">
            <v>185</v>
          </cell>
        </row>
        <row r="37">
          <cell r="A37" t="str">
            <v>SU047</v>
          </cell>
          <cell r="B37">
            <v>251</v>
          </cell>
        </row>
        <row r="38">
          <cell r="A38" t="str">
            <v>SU048</v>
          </cell>
          <cell r="B38">
            <v>452</v>
          </cell>
        </row>
        <row r="39">
          <cell r="A39" t="str">
            <v>SU049</v>
          </cell>
          <cell r="B39">
            <v>112</v>
          </cell>
        </row>
        <row r="40">
          <cell r="A40" t="str">
            <v>SU051</v>
          </cell>
          <cell r="B40">
            <v>118</v>
          </cell>
        </row>
        <row r="41">
          <cell r="A41" t="str">
            <v>SU052</v>
          </cell>
          <cell r="B41">
            <v>259</v>
          </cell>
        </row>
        <row r="42">
          <cell r="A42" t="str">
            <v>SU054</v>
          </cell>
          <cell r="B42">
            <v>251</v>
          </cell>
        </row>
        <row r="43">
          <cell r="A43" t="str">
            <v>SU055</v>
          </cell>
          <cell r="B43">
            <v>35</v>
          </cell>
        </row>
        <row r="44">
          <cell r="A44" t="str">
            <v>SU056</v>
          </cell>
          <cell r="B44">
            <v>308</v>
          </cell>
        </row>
        <row r="45">
          <cell r="A45" t="str">
            <v>SU060</v>
          </cell>
          <cell r="B45">
            <v>86</v>
          </cell>
        </row>
        <row r="46">
          <cell r="A46" t="str">
            <v>SU061</v>
          </cell>
          <cell r="B46">
            <v>535</v>
          </cell>
        </row>
        <row r="47">
          <cell r="A47" t="str">
            <v>SU063</v>
          </cell>
          <cell r="B47">
            <v>226</v>
          </cell>
        </row>
        <row r="48">
          <cell r="A48" t="str">
            <v>SU064</v>
          </cell>
          <cell r="B48">
            <v>90</v>
          </cell>
        </row>
        <row r="49">
          <cell r="A49" t="str">
            <v>SU065</v>
          </cell>
          <cell r="B49">
            <v>580</v>
          </cell>
        </row>
        <row r="50">
          <cell r="A50" t="str">
            <v>SU066</v>
          </cell>
          <cell r="B50">
            <v>310</v>
          </cell>
        </row>
        <row r="51">
          <cell r="A51" t="str">
            <v>SU067</v>
          </cell>
          <cell r="B51">
            <v>300</v>
          </cell>
        </row>
        <row r="52">
          <cell r="A52" t="str">
            <v>SU068</v>
          </cell>
          <cell r="B52">
            <v>236</v>
          </cell>
        </row>
        <row r="53">
          <cell r="A53" t="str">
            <v>SU069</v>
          </cell>
          <cell r="B53">
            <v>128</v>
          </cell>
        </row>
        <row r="54">
          <cell r="A54" t="str">
            <v>State Total</v>
          </cell>
          <cell r="B54">
            <v>15154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_SD IDEA 3-21"/>
      <sheetName val="sup School IDEA 5inKand6-21"/>
    </sheetNames>
    <sheetDataSet>
      <sheetData sheetId="0">
        <row r="1">
          <cell r="A1" t="str">
            <v>Related to Organization ID</v>
          </cell>
          <cell r="B1" t="str">
            <v>count</v>
          </cell>
        </row>
        <row r="2">
          <cell r="A2" t="str">
            <v>SU001</v>
          </cell>
          <cell r="B2">
            <v>193</v>
          </cell>
        </row>
        <row r="3">
          <cell r="A3" t="str">
            <v>SU002</v>
          </cell>
          <cell r="B3">
            <v>142</v>
          </cell>
        </row>
        <row r="4">
          <cell r="A4" t="str">
            <v>SU003</v>
          </cell>
          <cell r="B4">
            <v>236</v>
          </cell>
        </row>
        <row r="5">
          <cell r="A5" t="str">
            <v>SU004</v>
          </cell>
          <cell r="B5">
            <v>212</v>
          </cell>
        </row>
        <row r="6">
          <cell r="A6" t="str">
            <v>SU005</v>
          </cell>
          <cell r="B6">
            <v>742</v>
          </cell>
        </row>
        <row r="7">
          <cell r="A7" t="str">
            <v>SU006</v>
          </cell>
          <cell r="B7">
            <v>337</v>
          </cell>
        </row>
        <row r="8">
          <cell r="A8" t="str">
            <v>SU007</v>
          </cell>
          <cell r="B8">
            <v>364</v>
          </cell>
        </row>
        <row r="9">
          <cell r="A9" t="str">
            <v>SU009</v>
          </cell>
          <cell r="B9">
            <v>288</v>
          </cell>
        </row>
        <row r="10">
          <cell r="A10" t="str">
            <v>SU010</v>
          </cell>
          <cell r="B10">
            <v>338</v>
          </cell>
        </row>
        <row r="11">
          <cell r="A11" t="str">
            <v>SU011</v>
          </cell>
          <cell r="B11">
            <v>249</v>
          </cell>
        </row>
        <row r="12">
          <cell r="A12" t="str">
            <v>SU012</v>
          </cell>
          <cell r="B12">
            <v>378</v>
          </cell>
        </row>
        <row r="13">
          <cell r="A13" t="str">
            <v>SU014</v>
          </cell>
          <cell r="B13">
            <v>552</v>
          </cell>
        </row>
        <row r="14">
          <cell r="A14" t="str">
            <v>SU015</v>
          </cell>
          <cell r="B14">
            <v>608</v>
          </cell>
        </row>
        <row r="15">
          <cell r="A15" t="str">
            <v>SU016</v>
          </cell>
          <cell r="B15">
            <v>398</v>
          </cell>
        </row>
        <row r="16">
          <cell r="A16" t="str">
            <v>SU017</v>
          </cell>
          <cell r="B16">
            <v>224</v>
          </cell>
        </row>
        <row r="17">
          <cell r="A17" t="str">
            <v>SU019</v>
          </cell>
          <cell r="B17">
            <v>83</v>
          </cell>
        </row>
        <row r="18">
          <cell r="A18" t="str">
            <v>SU020</v>
          </cell>
          <cell r="B18">
            <v>336</v>
          </cell>
        </row>
        <row r="19">
          <cell r="A19" t="str">
            <v>SU021</v>
          </cell>
          <cell r="B19">
            <v>360</v>
          </cell>
        </row>
        <row r="20">
          <cell r="A20" t="str">
            <v>SU022</v>
          </cell>
          <cell r="B20">
            <v>343</v>
          </cell>
        </row>
        <row r="21">
          <cell r="A21" t="str">
            <v>SU023</v>
          </cell>
          <cell r="B21">
            <v>577</v>
          </cell>
        </row>
        <row r="22">
          <cell r="A22" t="str">
            <v>SU024</v>
          </cell>
          <cell r="B22">
            <v>183</v>
          </cell>
        </row>
        <row r="23">
          <cell r="A23" t="str">
            <v>SU025</v>
          </cell>
          <cell r="B23">
            <v>336</v>
          </cell>
        </row>
        <row r="24">
          <cell r="A24" t="str">
            <v>SU026</v>
          </cell>
          <cell r="B24">
            <v>211</v>
          </cell>
        </row>
        <row r="25">
          <cell r="A25" t="str">
            <v>SU027</v>
          </cell>
          <cell r="B25">
            <v>402</v>
          </cell>
        </row>
        <row r="26">
          <cell r="A26" t="str">
            <v>SU028</v>
          </cell>
          <cell r="B26">
            <v>181</v>
          </cell>
        </row>
        <row r="27">
          <cell r="A27" t="str">
            <v>SU030</v>
          </cell>
          <cell r="B27">
            <v>249</v>
          </cell>
        </row>
        <row r="28">
          <cell r="A28" t="str">
            <v>SU031</v>
          </cell>
          <cell r="B28">
            <v>612</v>
          </cell>
        </row>
        <row r="29">
          <cell r="A29" t="str">
            <v>SU032</v>
          </cell>
          <cell r="B29">
            <v>237</v>
          </cell>
        </row>
        <row r="30">
          <cell r="A30" t="str">
            <v>SU033</v>
          </cell>
          <cell r="B30">
            <v>118</v>
          </cell>
        </row>
        <row r="31">
          <cell r="A31" t="str">
            <v>SU034</v>
          </cell>
          <cell r="B31">
            <v>257</v>
          </cell>
        </row>
        <row r="32">
          <cell r="A32" t="str">
            <v>SU035</v>
          </cell>
          <cell r="B32">
            <v>237</v>
          </cell>
        </row>
        <row r="33">
          <cell r="A33" t="str">
            <v>SU036</v>
          </cell>
          <cell r="B33">
            <v>202</v>
          </cell>
        </row>
        <row r="34">
          <cell r="A34" t="str">
            <v>SU040</v>
          </cell>
          <cell r="B34">
            <v>383</v>
          </cell>
        </row>
        <row r="35">
          <cell r="A35" t="str">
            <v>SU042</v>
          </cell>
          <cell r="B35">
            <v>269</v>
          </cell>
        </row>
        <row r="36">
          <cell r="A36" t="str">
            <v>SU046</v>
          </cell>
          <cell r="B36">
            <v>172</v>
          </cell>
        </row>
        <row r="37">
          <cell r="A37" t="str">
            <v>SU047</v>
          </cell>
          <cell r="B37">
            <v>245</v>
          </cell>
        </row>
        <row r="38">
          <cell r="A38" t="str">
            <v>SU048</v>
          </cell>
          <cell r="B38">
            <v>456</v>
          </cell>
        </row>
        <row r="39">
          <cell r="A39" t="str">
            <v>SU049</v>
          </cell>
          <cell r="B39">
            <v>121</v>
          </cell>
        </row>
        <row r="40">
          <cell r="A40" t="str">
            <v>SU051</v>
          </cell>
          <cell r="B40">
            <v>124</v>
          </cell>
        </row>
        <row r="41">
          <cell r="A41" t="str">
            <v>SU052</v>
          </cell>
          <cell r="B41">
            <v>267</v>
          </cell>
        </row>
        <row r="42">
          <cell r="A42" t="str">
            <v>SU054</v>
          </cell>
          <cell r="B42">
            <v>251</v>
          </cell>
        </row>
        <row r="43">
          <cell r="A43" t="str">
            <v>SU055</v>
          </cell>
          <cell r="B43">
            <v>39</v>
          </cell>
        </row>
        <row r="44">
          <cell r="A44" t="str">
            <v>SU056</v>
          </cell>
          <cell r="B44">
            <v>336</v>
          </cell>
        </row>
        <row r="45">
          <cell r="A45" t="str">
            <v>SU061</v>
          </cell>
          <cell r="B45">
            <v>536</v>
          </cell>
        </row>
        <row r="46">
          <cell r="A46" t="str">
            <v>SU063</v>
          </cell>
          <cell r="B46">
            <v>242</v>
          </cell>
        </row>
        <row r="47">
          <cell r="A47" t="str">
            <v>SU064</v>
          </cell>
          <cell r="B47">
            <v>89</v>
          </cell>
        </row>
        <row r="48">
          <cell r="A48" t="str">
            <v>SU065</v>
          </cell>
          <cell r="B48">
            <v>612</v>
          </cell>
        </row>
        <row r="49">
          <cell r="A49" t="str">
            <v>SU066</v>
          </cell>
          <cell r="B49">
            <v>307</v>
          </cell>
        </row>
        <row r="50">
          <cell r="A50" t="str">
            <v>SU067</v>
          </cell>
          <cell r="B50">
            <v>295</v>
          </cell>
        </row>
        <row r="51">
          <cell r="A51" t="str">
            <v>SU068</v>
          </cell>
          <cell r="B51">
            <v>249</v>
          </cell>
        </row>
        <row r="52">
          <cell r="A52" t="str">
            <v>SU069</v>
          </cell>
          <cell r="B52">
            <v>135</v>
          </cell>
        </row>
        <row r="53">
          <cell r="A53" t="str">
            <v>State Total</v>
          </cell>
          <cell r="B53">
            <v>15313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_SD IDEA 3-21"/>
      <sheetName val="sup School IDEA 5inKand6-21"/>
    </sheetNames>
    <sheetDataSet>
      <sheetData sheetId="0">
        <row r="1">
          <cell r="A1" t="str">
            <v>Related to Organization ID</v>
          </cell>
          <cell r="B1" t="str">
            <v>count</v>
          </cell>
        </row>
        <row r="2">
          <cell r="A2" t="str">
            <v>SU001</v>
          </cell>
          <cell r="B2">
            <v>203</v>
          </cell>
        </row>
        <row r="3">
          <cell r="A3" t="str">
            <v>SU002</v>
          </cell>
          <cell r="B3">
            <v>148</v>
          </cell>
        </row>
        <row r="4">
          <cell r="A4" t="str">
            <v>SU003</v>
          </cell>
          <cell r="B4">
            <v>243</v>
          </cell>
        </row>
        <row r="5">
          <cell r="A5" t="str">
            <v>SU004</v>
          </cell>
          <cell r="B5">
            <v>219</v>
          </cell>
        </row>
        <row r="6">
          <cell r="A6" t="str">
            <v>SU005</v>
          </cell>
          <cell r="B6">
            <v>751</v>
          </cell>
        </row>
        <row r="7">
          <cell r="A7" t="str">
            <v>SU006</v>
          </cell>
          <cell r="B7">
            <v>360</v>
          </cell>
        </row>
        <row r="8">
          <cell r="A8" t="str">
            <v>SU007</v>
          </cell>
          <cell r="B8">
            <v>380</v>
          </cell>
        </row>
        <row r="9">
          <cell r="A9" t="str">
            <v>SU009</v>
          </cell>
          <cell r="B9">
            <v>294</v>
          </cell>
        </row>
        <row r="10">
          <cell r="A10" t="str">
            <v>SU010</v>
          </cell>
          <cell r="B10">
            <v>331</v>
          </cell>
        </row>
        <row r="11">
          <cell r="A11" t="str">
            <v>SU011</v>
          </cell>
          <cell r="B11">
            <v>260</v>
          </cell>
        </row>
        <row r="12">
          <cell r="A12" t="str">
            <v>SU012</v>
          </cell>
          <cell r="B12">
            <v>388</v>
          </cell>
        </row>
        <row r="13">
          <cell r="A13" t="str">
            <v>SU014</v>
          </cell>
          <cell r="B13">
            <v>540</v>
          </cell>
        </row>
        <row r="14">
          <cell r="A14" t="str">
            <v>SU015</v>
          </cell>
          <cell r="B14">
            <v>577</v>
          </cell>
        </row>
        <row r="15">
          <cell r="A15" t="str">
            <v>SU016</v>
          </cell>
          <cell r="B15">
            <v>418</v>
          </cell>
        </row>
        <row r="16">
          <cell r="A16" t="str">
            <v>SU017</v>
          </cell>
          <cell r="B16">
            <v>219</v>
          </cell>
        </row>
        <row r="17">
          <cell r="A17" t="str">
            <v>SU019</v>
          </cell>
          <cell r="B17">
            <v>74</v>
          </cell>
        </row>
        <row r="18">
          <cell r="A18" t="str">
            <v>SU020</v>
          </cell>
          <cell r="B18">
            <v>316</v>
          </cell>
        </row>
        <row r="19">
          <cell r="A19" t="str">
            <v>SU021</v>
          </cell>
          <cell r="B19">
            <v>375</v>
          </cell>
        </row>
        <row r="20">
          <cell r="A20" t="str">
            <v>SU022</v>
          </cell>
          <cell r="B20">
            <v>334</v>
          </cell>
        </row>
        <row r="21">
          <cell r="A21" t="str">
            <v>SU023</v>
          </cell>
          <cell r="B21">
            <v>566</v>
          </cell>
        </row>
        <row r="22">
          <cell r="A22" t="str">
            <v>SU024</v>
          </cell>
          <cell r="B22">
            <v>159</v>
          </cell>
        </row>
        <row r="23">
          <cell r="A23" t="str">
            <v>SU025</v>
          </cell>
          <cell r="B23">
            <v>323</v>
          </cell>
        </row>
        <row r="24">
          <cell r="A24" t="str">
            <v>SU026</v>
          </cell>
          <cell r="B24">
            <v>229</v>
          </cell>
        </row>
        <row r="25">
          <cell r="A25" t="str">
            <v>SU027</v>
          </cell>
          <cell r="B25">
            <v>417</v>
          </cell>
        </row>
        <row r="26">
          <cell r="A26" t="str">
            <v>SU028</v>
          </cell>
          <cell r="B26">
            <v>176</v>
          </cell>
        </row>
        <row r="27">
          <cell r="A27" t="str">
            <v>SU030</v>
          </cell>
          <cell r="B27">
            <v>264</v>
          </cell>
        </row>
        <row r="28">
          <cell r="A28" t="str">
            <v>SU031</v>
          </cell>
          <cell r="B28">
            <v>594</v>
          </cell>
        </row>
        <row r="29">
          <cell r="A29" t="str">
            <v>SU032</v>
          </cell>
          <cell r="B29">
            <v>235</v>
          </cell>
        </row>
        <row r="30">
          <cell r="A30" t="str">
            <v>SU033</v>
          </cell>
          <cell r="B30">
            <v>131</v>
          </cell>
        </row>
        <row r="31">
          <cell r="A31" t="str">
            <v>SU034</v>
          </cell>
          <cell r="B31">
            <v>256</v>
          </cell>
        </row>
        <row r="32">
          <cell r="A32" t="str">
            <v>SU035</v>
          </cell>
          <cell r="B32">
            <v>233</v>
          </cell>
        </row>
        <row r="33">
          <cell r="A33" t="str">
            <v>SU036</v>
          </cell>
          <cell r="B33">
            <v>197</v>
          </cell>
        </row>
        <row r="34">
          <cell r="A34" t="str">
            <v>SU040</v>
          </cell>
          <cell r="B34">
            <v>364</v>
          </cell>
        </row>
        <row r="35">
          <cell r="A35" t="str">
            <v>SU042</v>
          </cell>
          <cell r="B35">
            <v>287</v>
          </cell>
        </row>
        <row r="36">
          <cell r="A36" t="str">
            <v>SU046</v>
          </cell>
          <cell r="B36">
            <v>180</v>
          </cell>
        </row>
        <row r="37">
          <cell r="A37" t="str">
            <v>SU047</v>
          </cell>
          <cell r="B37">
            <v>256</v>
          </cell>
        </row>
        <row r="38">
          <cell r="A38" t="str">
            <v>SU048</v>
          </cell>
          <cell r="B38">
            <v>479</v>
          </cell>
        </row>
        <row r="39">
          <cell r="A39" t="str">
            <v>SU049</v>
          </cell>
          <cell r="B39">
            <v>119</v>
          </cell>
        </row>
        <row r="40">
          <cell r="A40" t="str">
            <v>SU051</v>
          </cell>
          <cell r="B40">
            <v>136</v>
          </cell>
        </row>
        <row r="41">
          <cell r="A41" t="str">
            <v>SU052</v>
          </cell>
          <cell r="B41">
            <v>263</v>
          </cell>
        </row>
        <row r="42">
          <cell r="A42" t="str">
            <v>SU054</v>
          </cell>
          <cell r="B42">
            <v>248</v>
          </cell>
        </row>
        <row r="43">
          <cell r="A43" t="str">
            <v>SU055</v>
          </cell>
          <cell r="B43">
            <v>37</v>
          </cell>
        </row>
        <row r="44">
          <cell r="A44" t="str">
            <v>SU056</v>
          </cell>
          <cell r="B44">
            <v>339</v>
          </cell>
        </row>
        <row r="45">
          <cell r="A45" t="str">
            <v>SU061</v>
          </cell>
          <cell r="B45">
            <v>567</v>
          </cell>
        </row>
        <row r="46">
          <cell r="A46" t="str">
            <v>SU063</v>
          </cell>
          <cell r="B46">
            <v>244</v>
          </cell>
        </row>
        <row r="47">
          <cell r="A47" t="str">
            <v>SU064</v>
          </cell>
          <cell r="B47">
            <v>103</v>
          </cell>
        </row>
        <row r="48">
          <cell r="A48" t="str">
            <v>SU065</v>
          </cell>
          <cell r="B48">
            <v>613</v>
          </cell>
        </row>
        <row r="49">
          <cell r="A49" t="str">
            <v>SU066</v>
          </cell>
          <cell r="B49">
            <v>329</v>
          </cell>
        </row>
        <row r="50">
          <cell r="A50" t="str">
            <v>SU067</v>
          </cell>
          <cell r="B50">
            <v>312</v>
          </cell>
        </row>
        <row r="51">
          <cell r="A51" t="str">
            <v>SU068</v>
          </cell>
          <cell r="B51">
            <v>247</v>
          </cell>
        </row>
        <row r="52">
          <cell r="A52" t="str">
            <v>SU069</v>
          </cell>
          <cell r="B52">
            <v>138</v>
          </cell>
        </row>
        <row r="53">
          <cell r="A53" t="str">
            <v>State Total</v>
          </cell>
          <cell r="B53">
            <v>15471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vot"/>
      <sheetName val="Raw Data"/>
      <sheetName val="FY20"/>
      <sheetName val="Sheet1"/>
      <sheetName val="FY21"/>
      <sheetName val="FY22"/>
      <sheetName val="FY23"/>
    </sheetNames>
    <sheetDataSet>
      <sheetData sheetId="0"/>
      <sheetData sheetId="1"/>
      <sheetData sheetId="2">
        <row r="1">
          <cell r="Y1" t="str">
            <v>Average Salary</v>
          </cell>
          <cell r="AC1" t="str">
            <v>Per 100</v>
          </cell>
        </row>
        <row r="2">
          <cell r="W2" t="str">
            <v>Row Labels</v>
          </cell>
          <cell r="X2" t="str">
            <v>Enrollment</v>
          </cell>
          <cell r="Y2" t="str">
            <v>Teacher</v>
          </cell>
          <cell r="Z2" t="str">
            <v>Leaders</v>
          </cell>
          <cell r="AA2" t="str">
            <v>Student Services</v>
          </cell>
          <cell r="AB2" t="str">
            <v>Support Services</v>
          </cell>
          <cell r="AC2" t="str">
            <v>Teacher</v>
          </cell>
          <cell r="AD2" t="str">
            <v>Leaders</v>
          </cell>
          <cell r="AE2" t="str">
            <v>Student Services</v>
          </cell>
          <cell r="AF2" t="str">
            <v>Support Services</v>
          </cell>
        </row>
        <row r="3">
          <cell r="W3" t="str">
            <v>SU001</v>
          </cell>
          <cell r="X3">
            <v>1328</v>
          </cell>
          <cell r="Y3">
            <v>63670.549837234532</v>
          </cell>
          <cell r="Z3">
            <v>87258.048635824438</v>
          </cell>
          <cell r="AA3">
            <v>62743.257466918716</v>
          </cell>
          <cell r="AB3">
            <v>38948.034266666669</v>
          </cell>
          <cell r="AC3">
            <v>9.7153614457831328</v>
          </cell>
          <cell r="AD3">
            <v>1.2695783132530118</v>
          </cell>
          <cell r="AE3">
            <v>1.9917168674698795</v>
          </cell>
          <cell r="AF3">
            <v>5.6475903614457836</v>
          </cell>
        </row>
        <row r="4">
          <cell r="W4" t="str">
            <v>SU002</v>
          </cell>
          <cell r="X4">
            <v>851</v>
          </cell>
          <cell r="Y4">
            <v>61763.538645895744</v>
          </cell>
          <cell r="Z4">
            <v>85897.45</v>
          </cell>
          <cell r="AA4">
            <v>64870.383870967729</v>
          </cell>
          <cell r="AB4">
            <v>48599.143263757127</v>
          </cell>
          <cell r="AC4">
            <v>9.8061104582843708</v>
          </cell>
          <cell r="AD4">
            <v>1.1750881316098707</v>
          </cell>
          <cell r="AE4">
            <v>1.8213866039952997</v>
          </cell>
          <cell r="AF4">
            <v>6.192714453584018</v>
          </cell>
        </row>
        <row r="5">
          <cell r="W5" t="str">
            <v>SU003</v>
          </cell>
          <cell r="X5">
            <v>1618</v>
          </cell>
          <cell r="Y5">
            <v>64439.090227443121</v>
          </cell>
          <cell r="Z5">
            <v>91956.479591836731</v>
          </cell>
          <cell r="AA5">
            <v>65274.518911745196</v>
          </cell>
          <cell r="AB5">
            <v>46865.167906242961</v>
          </cell>
          <cell r="AC5">
            <v>9.8912237330037112</v>
          </cell>
          <cell r="AD5">
            <v>1.2113720642768853</v>
          </cell>
          <cell r="AE5">
            <v>1.8627935723114954</v>
          </cell>
          <cell r="AF5">
            <v>5.4845488257107533</v>
          </cell>
        </row>
        <row r="6">
          <cell r="W6" t="str">
            <v>SU004</v>
          </cell>
          <cell r="X6">
            <v>1197</v>
          </cell>
          <cell r="Y6">
            <v>53239.67343687774</v>
          </cell>
          <cell r="Z6">
            <v>87916.729205753596</v>
          </cell>
          <cell r="AA6">
            <v>55169.633813495071</v>
          </cell>
          <cell r="AB6">
            <v>44373.389811531997</v>
          </cell>
          <cell r="AC6">
            <v>10.488721804511277</v>
          </cell>
          <cell r="AD6">
            <v>1.3358395989974938</v>
          </cell>
          <cell r="AE6">
            <v>2.2038429406850457</v>
          </cell>
          <cell r="AF6">
            <v>4.47702589807853</v>
          </cell>
        </row>
        <row r="7">
          <cell r="W7" t="str">
            <v>SU005</v>
          </cell>
          <cell r="X7">
            <v>2703</v>
          </cell>
          <cell r="Y7">
            <v>56709.269574516846</v>
          </cell>
          <cell r="Z7">
            <v>96770.719166666662</v>
          </cell>
          <cell r="AA7">
            <v>56145.426655348056</v>
          </cell>
          <cell r="AB7">
            <v>45172.61159903089</v>
          </cell>
          <cell r="AC7">
            <v>9.6862745098039191</v>
          </cell>
          <cell r="AD7">
            <v>0.88790233074361824</v>
          </cell>
          <cell r="AE7">
            <v>2.1790603033666298</v>
          </cell>
          <cell r="AF7">
            <v>4.8864224935257123</v>
          </cell>
        </row>
        <row r="8">
          <cell r="W8" t="str">
            <v>SU006</v>
          </cell>
          <cell r="X8">
            <v>1137</v>
          </cell>
          <cell r="Y8">
            <v>61503.544844928751</v>
          </cell>
          <cell r="Z8">
            <v>91146.331055900606</v>
          </cell>
          <cell r="AA8">
            <v>50941.192996418598</v>
          </cell>
          <cell r="AB8">
            <v>44974.264193187264</v>
          </cell>
          <cell r="AC8">
            <v>10.492524186455586</v>
          </cell>
          <cell r="AD8">
            <v>1.4160070360598065</v>
          </cell>
          <cell r="AE8">
            <v>4.4204045734388746</v>
          </cell>
          <cell r="AF8">
            <v>5.4995602462620932</v>
          </cell>
        </row>
        <row r="9">
          <cell r="W9" t="str">
            <v>SU007</v>
          </cell>
          <cell r="X9">
            <v>2140</v>
          </cell>
          <cell r="Y9">
            <v>75140.948190694995</v>
          </cell>
          <cell r="Z9">
            <v>106479.60411764706</v>
          </cell>
          <cell r="AA9">
            <v>65859.547920892481</v>
          </cell>
          <cell r="AB9">
            <v>38332.114974710988</v>
          </cell>
          <cell r="AC9">
            <v>8.1355140186915893</v>
          </cell>
          <cell r="AD9">
            <v>0.79439252336448596</v>
          </cell>
          <cell r="AE9">
            <v>1.8429906542056074</v>
          </cell>
          <cell r="AF9">
            <v>5.1738317757009344</v>
          </cell>
        </row>
        <row r="10">
          <cell r="W10" t="str">
            <v>SU009</v>
          </cell>
          <cell r="X10">
            <v>1225</v>
          </cell>
          <cell r="Y10">
            <v>57365.47457835776</v>
          </cell>
          <cell r="Z10">
            <v>83809.599447513814</v>
          </cell>
          <cell r="AA10">
            <v>51684.454449152545</v>
          </cell>
          <cell r="AB10">
            <v>36326.135604542418</v>
          </cell>
          <cell r="AC10">
            <v>13.262040816326529</v>
          </cell>
          <cell r="AD10">
            <v>1.1820408163265306</v>
          </cell>
          <cell r="AE10">
            <v>3.0824489795918364</v>
          </cell>
          <cell r="AF10">
            <v>4.8881632653061224</v>
          </cell>
        </row>
        <row r="11">
          <cell r="W11" t="str">
            <v>SU010</v>
          </cell>
          <cell r="X11">
            <v>1407</v>
          </cell>
          <cell r="Y11">
            <v>63220.350746268654</v>
          </cell>
          <cell r="Z11">
            <v>93944.451612903227</v>
          </cell>
          <cell r="AA11">
            <v>58263.533333333333</v>
          </cell>
          <cell r="AB11">
            <v>39350.128388017125</v>
          </cell>
          <cell r="AC11">
            <v>9.5238095238095237</v>
          </cell>
          <cell r="AD11">
            <v>1.1016346837242361</v>
          </cell>
          <cell r="AE11">
            <v>2.1321961620469083</v>
          </cell>
          <cell r="AF11">
            <v>4.982231698649608</v>
          </cell>
        </row>
        <row r="12">
          <cell r="W12" t="str">
            <v>SU011</v>
          </cell>
          <cell r="X12">
            <v>584</v>
          </cell>
          <cell r="Y12">
            <v>55628.807142857149</v>
          </cell>
          <cell r="Z12">
            <v>51419.666666666664</v>
          </cell>
          <cell r="AA12">
            <v>59509.910344827593</v>
          </cell>
          <cell r="AB12">
            <v>49900.08025751073</v>
          </cell>
          <cell r="AC12">
            <v>9.5890410958904102</v>
          </cell>
          <cell r="AD12">
            <v>1.5410958904109588</v>
          </cell>
          <cell r="AE12">
            <v>1.9863013698630134</v>
          </cell>
          <cell r="AF12">
            <v>3.9897260273972606</v>
          </cell>
        </row>
        <row r="13">
          <cell r="W13" t="str">
            <v>SU012</v>
          </cell>
          <cell r="X13">
            <v>2326</v>
          </cell>
          <cell r="Y13">
            <v>66262.886737352863</v>
          </cell>
          <cell r="Z13">
            <v>107398.686875</v>
          </cell>
          <cell r="AA13">
            <v>57288.804115359686</v>
          </cell>
          <cell r="AB13">
            <v>44014.369528900759</v>
          </cell>
          <cell r="AC13">
            <v>9.5692175408426472</v>
          </cell>
          <cell r="AD13">
            <v>0.68787618228718828</v>
          </cell>
          <cell r="AE13">
            <v>2.653482373172829</v>
          </cell>
          <cell r="AF13">
            <v>3.8602751504729151</v>
          </cell>
        </row>
        <row r="14">
          <cell r="W14" t="str">
            <v>SU014</v>
          </cell>
          <cell r="X14">
            <v>3935</v>
          </cell>
          <cell r="Y14">
            <v>77299.274047186947</v>
          </cell>
          <cell r="Z14">
            <v>111239.50191570881</v>
          </cell>
          <cell r="AA14">
            <v>54890.576108963738</v>
          </cell>
          <cell r="AB14">
            <v>45386.786405822269</v>
          </cell>
          <cell r="AC14">
            <v>8.8216010165184233</v>
          </cell>
          <cell r="AD14">
            <v>0.66327827191867861</v>
          </cell>
          <cell r="AE14">
            <v>2.7613722998729355</v>
          </cell>
          <cell r="AF14">
            <v>3.806099110546378</v>
          </cell>
        </row>
        <row r="15">
          <cell r="W15" t="str">
            <v>SU015</v>
          </cell>
          <cell r="X15">
            <v>3347</v>
          </cell>
          <cell r="Y15">
            <v>74312.064001068909</v>
          </cell>
          <cell r="Z15">
            <v>94554.539682539675</v>
          </cell>
          <cell r="AA15">
            <v>58430.182870928824</v>
          </cell>
          <cell r="AB15">
            <v>45998.809553196763</v>
          </cell>
          <cell r="AC15">
            <v>8.9444278458320881</v>
          </cell>
          <cell r="AD15">
            <v>0.95996414699731114</v>
          </cell>
          <cell r="AE15">
            <v>2.4768449357633697</v>
          </cell>
          <cell r="AF15">
            <v>4.8413504631012838</v>
          </cell>
        </row>
        <row r="16">
          <cell r="W16" t="str">
            <v>SU016</v>
          </cell>
          <cell r="X16">
            <v>2455</v>
          </cell>
          <cell r="Y16">
            <v>81094.433167563184</v>
          </cell>
          <cell r="Z16">
            <v>124042.42236024844</v>
          </cell>
          <cell r="AA16">
            <v>49419.300870511426</v>
          </cell>
          <cell r="AB16">
            <v>43932.018516732576</v>
          </cell>
          <cell r="AC16">
            <v>8.0268839103869656</v>
          </cell>
          <cell r="AD16">
            <v>0.65580448065173125</v>
          </cell>
          <cell r="AE16">
            <v>2.994704684317719</v>
          </cell>
          <cell r="AF16">
            <v>4.2236252545824842</v>
          </cell>
        </row>
        <row r="17">
          <cell r="W17" t="str">
            <v>SU017</v>
          </cell>
          <cell r="X17">
            <v>791</v>
          </cell>
          <cell r="Y17">
            <v>63010.948370715196</v>
          </cell>
          <cell r="Z17">
            <v>99363.783783783787</v>
          </cell>
          <cell r="AA17">
            <v>49820.471801091568</v>
          </cell>
          <cell r="AB17">
            <v>46069.782478097608</v>
          </cell>
          <cell r="AC17">
            <v>11.949431099873577</v>
          </cell>
          <cell r="AD17">
            <v>0.93552465233881155</v>
          </cell>
          <cell r="AE17">
            <v>2.0847029077117574</v>
          </cell>
          <cell r="AF17">
            <v>5.0505689001264216</v>
          </cell>
        </row>
        <row r="18">
          <cell r="W18" t="str">
            <v>SU019</v>
          </cell>
          <cell r="X18">
            <v>168</v>
          </cell>
          <cell r="Y18">
            <v>44335.707499999997</v>
          </cell>
          <cell r="Z18">
            <v>72229.2</v>
          </cell>
          <cell r="AA18">
            <v>40420.93457943925</v>
          </cell>
          <cell r="AB18">
            <v>39221.125</v>
          </cell>
          <cell r="AC18">
            <v>14.285714285714285</v>
          </cell>
          <cell r="AD18">
            <v>2.9761904761904758</v>
          </cell>
          <cell r="AE18">
            <v>2.5476190476190479</v>
          </cell>
          <cell r="AF18">
            <v>4.7619047619047619</v>
          </cell>
        </row>
        <row r="19">
          <cell r="W19" t="str">
            <v>SU020</v>
          </cell>
          <cell r="X19">
            <v>1727</v>
          </cell>
          <cell r="Y19">
            <v>51283.253416081425</v>
          </cell>
          <cell r="Z19">
            <v>81055.437158469955</v>
          </cell>
          <cell r="AA19">
            <v>56471.633472803354</v>
          </cell>
          <cell r="AB19">
            <v>34523.72018696311</v>
          </cell>
          <cell r="AC19">
            <v>10.63636363636364</v>
          </cell>
          <cell r="AD19">
            <v>1.0596409959467283</v>
          </cell>
          <cell r="AE19">
            <v>2.075854082223509</v>
          </cell>
          <cell r="AF19">
            <v>4.5836711059640995</v>
          </cell>
        </row>
        <row r="20">
          <cell r="W20" t="str">
            <v>SU021</v>
          </cell>
          <cell r="X20">
            <v>1680</v>
          </cell>
          <cell r="Y20">
            <v>54558.340673289189</v>
          </cell>
          <cell r="Z20">
            <v>84122.786366076223</v>
          </cell>
          <cell r="AA20">
            <v>54709.019943820211</v>
          </cell>
          <cell r="AB20">
            <v>39374.354075774972</v>
          </cell>
          <cell r="AC20">
            <v>10.785714285714285</v>
          </cell>
          <cell r="AD20">
            <v>1.1089285714285713</v>
          </cell>
          <cell r="AE20">
            <v>2.1190476190476195</v>
          </cell>
          <cell r="AF20">
            <v>5.1845238095238093</v>
          </cell>
        </row>
        <row r="21">
          <cell r="W21" t="str">
            <v>SU022</v>
          </cell>
          <cell r="X21">
            <v>1583</v>
          </cell>
          <cell r="Y21">
            <v>61452.109331476327</v>
          </cell>
          <cell r="Z21">
            <v>102142.8</v>
          </cell>
          <cell r="AA21">
            <v>56528.997417926978</v>
          </cell>
          <cell r="AB21">
            <v>41163.621992354398</v>
          </cell>
          <cell r="AC21">
            <v>9.0713834491471879</v>
          </cell>
          <cell r="AD21">
            <v>0.63171193935565384</v>
          </cell>
          <cell r="AE21">
            <v>1.7125710675931771</v>
          </cell>
          <cell r="AF21">
            <v>2.8092229943145925</v>
          </cell>
        </row>
        <row r="22">
          <cell r="W22" t="str">
            <v>SU023</v>
          </cell>
          <cell r="X22">
            <v>2497</v>
          </cell>
          <cell r="Y22">
            <v>65023.640656668016</v>
          </cell>
          <cell r="Z22">
            <v>61210.25365344467</v>
          </cell>
          <cell r="AA22">
            <v>59894.499774774777</v>
          </cell>
          <cell r="AB22">
            <v>45591.811957205784</v>
          </cell>
          <cell r="AC22">
            <v>9.8798558269923902</v>
          </cell>
          <cell r="AD22">
            <v>1.1509811774128955</v>
          </cell>
          <cell r="AE22">
            <v>1.7781337605126151</v>
          </cell>
          <cell r="AF22">
            <v>3.1818181818181821</v>
          </cell>
        </row>
        <row r="23">
          <cell r="W23" t="str">
            <v>SU024</v>
          </cell>
          <cell r="X23">
            <v>569</v>
          </cell>
          <cell r="Y23">
            <v>55138.775118858954</v>
          </cell>
          <cell r="Z23">
            <v>97940.28571428571</v>
          </cell>
          <cell r="AA23">
            <v>49722.60256410257</v>
          </cell>
          <cell r="AB23">
            <v>39695.798471615715</v>
          </cell>
          <cell r="AC23">
            <v>11.0896309314587</v>
          </cell>
          <cell r="AD23">
            <v>1.2302284710017575</v>
          </cell>
          <cell r="AE23">
            <v>2.7416520210896307</v>
          </cell>
          <cell r="AF23">
            <v>8.0492091388400713</v>
          </cell>
        </row>
        <row r="24">
          <cell r="W24" t="str">
            <v>SU025</v>
          </cell>
          <cell r="X24">
            <v>1679</v>
          </cell>
          <cell r="Y24">
            <v>52463.987468813779</v>
          </cell>
          <cell r="Z24">
            <v>82707.538947368419</v>
          </cell>
          <cell r="AA24">
            <v>44069.369468558129</v>
          </cell>
          <cell r="AB24">
            <v>37376.142897013669</v>
          </cell>
          <cell r="AC24">
            <v>10.503871351995237</v>
          </cell>
          <cell r="AD24">
            <v>1.1316259678379987</v>
          </cell>
          <cell r="AE24">
            <v>2.8129839189994041</v>
          </cell>
          <cell r="AF24">
            <v>4.268016676593211</v>
          </cell>
        </row>
        <row r="25">
          <cell r="W25" t="str">
            <v>SU026</v>
          </cell>
          <cell r="X25">
            <v>1684</v>
          </cell>
          <cell r="Y25">
            <v>68815.158273998459</v>
          </cell>
          <cell r="Z25">
            <v>87652.274143302173</v>
          </cell>
          <cell r="AA25">
            <v>63013.577235772354</v>
          </cell>
          <cell r="AB25">
            <v>47444.904502997357</v>
          </cell>
          <cell r="AC25">
            <v>6.9222090261282663</v>
          </cell>
          <cell r="AD25">
            <v>0.95308788598574834</v>
          </cell>
          <cell r="AE25">
            <v>1.460807600950119</v>
          </cell>
          <cell r="AF25">
            <v>4.2595011876484552</v>
          </cell>
        </row>
        <row r="26">
          <cell r="W26" t="str">
            <v>SU027</v>
          </cell>
          <cell r="X26">
            <v>1567</v>
          </cell>
          <cell r="Y26">
            <v>56642.534375397147</v>
          </cell>
          <cell r="Z26">
            <v>85227.363039912554</v>
          </cell>
          <cell r="AA26">
            <v>62162.145588235289</v>
          </cell>
          <cell r="AB26">
            <v>39418.216093445815</v>
          </cell>
          <cell r="AC26">
            <v>10.043395022335671</v>
          </cell>
          <cell r="AD26">
            <v>1.1671984684109764</v>
          </cell>
          <cell r="AE26">
            <v>1.7358008934269304</v>
          </cell>
          <cell r="AF26">
            <v>3.9336311423101469</v>
          </cell>
        </row>
        <row r="27">
          <cell r="W27" t="str">
            <v>SU028</v>
          </cell>
          <cell r="X27">
            <v>821</v>
          </cell>
          <cell r="Y27">
            <v>61448.20448877805</v>
          </cell>
          <cell r="Z27">
            <v>93150.181818181823</v>
          </cell>
          <cell r="AA27">
            <v>41464.418604651168</v>
          </cell>
          <cell r="AB27">
            <v>41952.59911894273</v>
          </cell>
          <cell r="AC27">
            <v>9.7685749086479916</v>
          </cell>
          <cell r="AD27">
            <v>1.3398294762484775</v>
          </cell>
          <cell r="AE27">
            <v>3.1425091352009744</v>
          </cell>
          <cell r="AF27">
            <v>5.5298416565164432</v>
          </cell>
        </row>
        <row r="28">
          <cell r="W28" t="str">
            <v>SU030</v>
          </cell>
          <cell r="X28">
            <v>1110</v>
          </cell>
          <cell r="Y28">
            <v>55599.814716781366</v>
          </cell>
          <cell r="Z28">
            <v>87586.126373626379</v>
          </cell>
          <cell r="AA28">
            <v>153207.10914454274</v>
          </cell>
          <cell r="AB28">
            <v>38643.923278116818</v>
          </cell>
          <cell r="AC28">
            <v>13.614414414414414</v>
          </cell>
          <cell r="AD28">
            <v>1.3117117117117116</v>
          </cell>
          <cell r="AE28">
            <v>3.0540540540540544</v>
          </cell>
          <cell r="AF28">
            <v>5.166666666666667</v>
          </cell>
        </row>
        <row r="29">
          <cell r="W29" t="str">
            <v>SU031</v>
          </cell>
          <cell r="X29">
            <v>2388</v>
          </cell>
          <cell r="Y29">
            <v>49730.540250817437</v>
          </cell>
          <cell r="Z29">
            <v>84912.51968503937</v>
          </cell>
          <cell r="AA29">
            <v>35903.095805471123</v>
          </cell>
          <cell r="AB29">
            <v>37757.697386109023</v>
          </cell>
          <cell r="AC29">
            <v>10.117671691792294</v>
          </cell>
          <cell r="AD29">
            <v>1.0636515912897822</v>
          </cell>
          <cell r="AE29">
            <v>3.4443048576214408</v>
          </cell>
          <cell r="AF29">
            <v>5.6072026800670018</v>
          </cell>
        </row>
        <row r="30">
          <cell r="W30" t="str">
            <v>SU032</v>
          </cell>
          <cell r="X30">
            <v>1469</v>
          </cell>
          <cell r="Y30">
            <v>61885.53208930356</v>
          </cell>
          <cell r="Z30">
            <v>91131.286956521741</v>
          </cell>
          <cell r="AA30">
            <v>63624.672201721994</v>
          </cell>
          <cell r="AB30">
            <v>42915.079624983482</v>
          </cell>
          <cell r="AC30">
            <v>10.214431586113003</v>
          </cell>
          <cell r="AD30">
            <v>0.93941456773315191</v>
          </cell>
          <cell r="AE30">
            <v>2.2137508509189932</v>
          </cell>
          <cell r="AF30">
            <v>5.1552076242341736</v>
          </cell>
        </row>
        <row r="31">
          <cell r="W31" t="str">
            <v>SU033</v>
          </cell>
          <cell r="X31">
            <v>814</v>
          </cell>
          <cell r="Y31">
            <v>56840.005474220241</v>
          </cell>
          <cell r="Z31">
            <v>88736.786885245907</v>
          </cell>
          <cell r="AA31">
            <v>56718.469101123599</v>
          </cell>
          <cell r="AB31">
            <v>43613.084420772291</v>
          </cell>
          <cell r="AC31">
            <v>9.649877149877149</v>
          </cell>
          <cell r="AD31">
            <v>1.4987714987714986</v>
          </cell>
          <cell r="AE31">
            <v>2.6240786240786242</v>
          </cell>
          <cell r="AF31">
            <v>4.6130221130221134</v>
          </cell>
        </row>
        <row r="32">
          <cell r="W32" t="str">
            <v>SU034</v>
          </cell>
          <cell r="X32">
            <v>1087</v>
          </cell>
          <cell r="Y32">
            <v>52853.61048268716</v>
          </cell>
          <cell r="Z32">
            <v>80932.916666666672</v>
          </cell>
          <cell r="AA32">
            <v>44122.17847025497</v>
          </cell>
          <cell r="AB32">
            <v>34420.114984841923</v>
          </cell>
          <cell r="AC32">
            <v>10.654093836246547</v>
          </cell>
          <cell r="AD32">
            <v>1.1039558417663293</v>
          </cell>
          <cell r="AE32">
            <v>2.2732290708371661</v>
          </cell>
          <cell r="AF32">
            <v>4.2483900643974239</v>
          </cell>
        </row>
        <row r="33">
          <cell r="W33" t="str">
            <v>SU035</v>
          </cell>
          <cell r="X33">
            <v>961</v>
          </cell>
          <cell r="Y33">
            <v>57615.958106021608</v>
          </cell>
          <cell r="Z33">
            <v>69996.665509259241</v>
          </cell>
          <cell r="AA33">
            <v>55576.530857454949</v>
          </cell>
          <cell r="AB33">
            <v>39906.147990852667</v>
          </cell>
          <cell r="AC33">
            <v>10.109261186264309</v>
          </cell>
          <cell r="AD33">
            <v>1.7981269510926119</v>
          </cell>
          <cell r="AE33">
            <v>1.9053069719042661</v>
          </cell>
          <cell r="AF33">
            <v>6.3704474505723221</v>
          </cell>
        </row>
        <row r="34">
          <cell r="W34" t="str">
            <v>SU036</v>
          </cell>
          <cell r="X34">
            <v>1348</v>
          </cell>
          <cell r="Y34">
            <v>59501.57588126159</v>
          </cell>
          <cell r="Z34">
            <v>82185.289333333334</v>
          </cell>
          <cell r="AA34">
            <v>44784.525193798458</v>
          </cell>
          <cell r="AB34">
            <v>42740.988659793817</v>
          </cell>
          <cell r="AC34">
            <v>9.9962908011869445</v>
          </cell>
          <cell r="AD34">
            <v>1.1127596439169141</v>
          </cell>
          <cell r="AE34">
            <v>3.827893175074184</v>
          </cell>
          <cell r="AF34">
            <v>4.3175074183976268</v>
          </cell>
        </row>
        <row r="35">
          <cell r="W35" t="str">
            <v>SU040</v>
          </cell>
          <cell r="X35">
            <v>2076</v>
          </cell>
          <cell r="Y35">
            <v>63562.523861115405</v>
          </cell>
          <cell r="Z35">
            <v>110321.5</v>
          </cell>
          <cell r="AA35">
            <v>50471.642026266418</v>
          </cell>
          <cell r="AB35">
            <v>53562.372004744953</v>
          </cell>
          <cell r="AC35">
            <v>9.3367052023121406</v>
          </cell>
          <cell r="AD35">
            <v>0.96339113680154131</v>
          </cell>
          <cell r="AE35">
            <v>2.5674373795761078</v>
          </cell>
          <cell r="AF35">
            <v>4.0606936416184976</v>
          </cell>
        </row>
        <row r="36">
          <cell r="W36" t="str">
            <v>SU042</v>
          </cell>
          <cell r="X36">
            <v>1677</v>
          </cell>
          <cell r="Y36">
            <v>66047.005143276983</v>
          </cell>
          <cell r="Z36">
            <v>83295.591836734689</v>
          </cell>
          <cell r="AA36">
            <v>60860.242930591245</v>
          </cell>
          <cell r="AB36">
            <v>46909.315678801402</v>
          </cell>
          <cell r="AC36">
            <v>9.7388193202146702</v>
          </cell>
          <cell r="AD36">
            <v>1.4609421586165774</v>
          </cell>
          <cell r="AE36">
            <v>2.3196183661299945</v>
          </cell>
          <cell r="AF36">
            <v>4.5372689326177706</v>
          </cell>
        </row>
        <row r="37">
          <cell r="W37" t="str">
            <v>SU046</v>
          </cell>
          <cell r="X37">
            <v>708</v>
          </cell>
          <cell r="Y37">
            <v>63500.65800303228</v>
          </cell>
          <cell r="Z37">
            <v>84349.809836065586</v>
          </cell>
          <cell r="AA37">
            <v>47627.730120481923</v>
          </cell>
          <cell r="AB37">
            <v>41154.700020673969</v>
          </cell>
          <cell r="AC37">
            <v>13.042372881355933</v>
          </cell>
          <cell r="AD37">
            <v>2.1539548022598871</v>
          </cell>
          <cell r="AE37">
            <v>3.5169491525423728</v>
          </cell>
          <cell r="AF37">
            <v>6.8319209039548028</v>
          </cell>
        </row>
        <row r="38">
          <cell r="W38" t="str">
            <v>SU047</v>
          </cell>
          <cell r="X38">
            <v>1059</v>
          </cell>
          <cell r="Y38">
            <v>58626.868338813132</v>
          </cell>
          <cell r="Z38">
            <v>42795.108169014085</v>
          </cell>
          <cell r="AA38">
            <v>45115.095824175834</v>
          </cell>
          <cell r="AB38">
            <v>36199.117462686576</v>
          </cell>
          <cell r="AC38">
            <v>12.69262134088763</v>
          </cell>
          <cell r="AD38">
            <v>3.3522190745986782</v>
          </cell>
          <cell r="AE38">
            <v>4.2965061378659106</v>
          </cell>
          <cell r="AF38">
            <v>6.3267233238904623</v>
          </cell>
        </row>
        <row r="39">
          <cell r="W39" t="str">
            <v>SU048</v>
          </cell>
          <cell r="X39">
            <v>2402</v>
          </cell>
          <cell r="Y39">
            <v>62332.803580049753</v>
          </cell>
          <cell r="Z39">
            <v>65550.631468740656</v>
          </cell>
          <cell r="AA39">
            <v>61022.729331416231</v>
          </cell>
          <cell r="AB39">
            <v>45160.699719363889</v>
          </cell>
          <cell r="AC39">
            <v>11.210241465445462</v>
          </cell>
          <cell r="AD39">
            <v>1.3917568692756037</v>
          </cell>
          <cell r="AE39">
            <v>2.3164029975020819</v>
          </cell>
          <cell r="AF39">
            <v>3.5603663613655292</v>
          </cell>
        </row>
        <row r="40">
          <cell r="W40" t="str">
            <v>SU049</v>
          </cell>
          <cell r="X40">
            <v>565</v>
          </cell>
          <cell r="Y40">
            <v>57146.849507735576</v>
          </cell>
          <cell r="Z40">
            <v>73856.454545454544</v>
          </cell>
          <cell r="AA40">
            <v>56213.743315508022</v>
          </cell>
          <cell r="AB40">
            <v>34909.454545454537</v>
          </cell>
          <cell r="AC40">
            <v>12.584070796460178</v>
          </cell>
          <cell r="AD40">
            <v>1.9469026548672566</v>
          </cell>
          <cell r="AE40">
            <v>3.3097345132743357</v>
          </cell>
          <cell r="AF40">
            <v>4.3805309734513278</v>
          </cell>
        </row>
        <row r="41">
          <cell r="W41" t="str">
            <v>SU051</v>
          </cell>
          <cell r="X41">
            <v>1006</v>
          </cell>
          <cell r="Y41">
            <v>63482.244575045195</v>
          </cell>
          <cell r="Z41">
            <v>82894.153012048177</v>
          </cell>
          <cell r="AA41">
            <v>62539.907651715039</v>
          </cell>
          <cell r="AB41">
            <v>42346.766807107524</v>
          </cell>
          <cell r="AC41">
            <v>8.7952286282306176</v>
          </cell>
          <cell r="AD41">
            <v>1.650099403578529</v>
          </cell>
          <cell r="AE41">
            <v>1.5069582504970178</v>
          </cell>
          <cell r="AF41">
            <v>5.4264413518886681</v>
          </cell>
        </row>
        <row r="42">
          <cell r="W42" t="str">
            <v>SU052</v>
          </cell>
          <cell r="X42">
            <v>1126</v>
          </cell>
          <cell r="Y42">
            <v>54792.793914473681</v>
          </cell>
          <cell r="Z42">
            <v>75172.849220103977</v>
          </cell>
          <cell r="AA42">
            <v>50477.817829457366</v>
          </cell>
          <cell r="AB42">
            <v>42426.961609223581</v>
          </cell>
          <cell r="AC42">
            <v>13.49911190053286</v>
          </cell>
          <cell r="AD42">
            <v>1.5373001776198936</v>
          </cell>
          <cell r="AE42">
            <v>2.2912966252220244</v>
          </cell>
          <cell r="AF42">
            <v>7.2406749555950265</v>
          </cell>
        </row>
        <row r="43">
          <cell r="W43" t="str">
            <v>SU054</v>
          </cell>
          <cell r="X43">
            <v>1391</v>
          </cell>
          <cell r="Y43">
            <v>61733.866567460318</v>
          </cell>
          <cell r="Z43">
            <v>91584.14376321352</v>
          </cell>
          <cell r="AA43">
            <v>59480.366713681236</v>
          </cell>
          <cell r="AB43">
            <v>48495.810392609703</v>
          </cell>
          <cell r="AC43">
            <v>11.594536304816678</v>
          </cell>
          <cell r="AD43">
            <v>1.3601725377426312</v>
          </cell>
          <cell r="AE43">
            <v>2.5485262401150255</v>
          </cell>
          <cell r="AF43">
            <v>3.1128684399712432</v>
          </cell>
        </row>
        <row r="44">
          <cell r="W44" t="str">
            <v>SU055</v>
          </cell>
          <cell r="X44">
            <v>295</v>
          </cell>
          <cell r="Y44">
            <v>81189.737991266375</v>
          </cell>
          <cell r="Z44">
            <v>107458</v>
          </cell>
          <cell r="AA44">
            <v>80634.600000000006</v>
          </cell>
          <cell r="AB44">
            <v>53417.142857142855</v>
          </cell>
          <cell r="AC44">
            <v>7.7627118644067794</v>
          </cell>
          <cell r="AD44">
            <v>0.33898305084745761</v>
          </cell>
          <cell r="AE44">
            <v>1.6949152542372881</v>
          </cell>
          <cell r="AF44">
            <v>2.3728813559322033</v>
          </cell>
        </row>
        <row r="45">
          <cell r="W45" t="str">
            <v>SU056</v>
          </cell>
          <cell r="X45">
            <v>1105</v>
          </cell>
          <cell r="Y45">
            <v>59642.080978787075</v>
          </cell>
          <cell r="Z45">
            <v>94653.086363636365</v>
          </cell>
          <cell r="AA45">
            <v>50209.901021486439</v>
          </cell>
          <cell r="AB45">
            <v>38112.355874894354</v>
          </cell>
          <cell r="AC45">
            <v>10.281447963800904</v>
          </cell>
          <cell r="AD45">
            <v>0.99547511312217185</v>
          </cell>
          <cell r="AE45">
            <v>2.569230769230769</v>
          </cell>
          <cell r="AF45">
            <v>5.352941176470587</v>
          </cell>
        </row>
        <row r="46">
          <cell r="W46" t="str">
            <v>SU060</v>
          </cell>
          <cell r="Y46">
            <v>59431.167452830188</v>
          </cell>
          <cell r="Z46">
            <v>85323.92857142858</v>
          </cell>
          <cell r="AA46">
            <v>46681.944444444438</v>
          </cell>
          <cell r="AB46">
            <v>37314.383561643837</v>
          </cell>
          <cell r="AC46" t="e">
            <v>#DIV/0!</v>
          </cell>
          <cell r="AD46" t="e">
            <v>#DIV/0!</v>
          </cell>
          <cell r="AE46" t="e">
            <v>#DIV/0!</v>
          </cell>
          <cell r="AF46" t="e">
            <v>#DIV/0!</v>
          </cell>
        </row>
        <row r="47">
          <cell r="W47" t="str">
            <v>SU061</v>
          </cell>
          <cell r="X47">
            <v>2393</v>
          </cell>
          <cell r="Y47">
            <v>57296.715012345674</v>
          </cell>
          <cell r="Z47">
            <v>58838.230344827585</v>
          </cell>
          <cell r="AA47">
            <v>54063.855480321632</v>
          </cell>
          <cell r="AB47">
            <v>42084.716600179105</v>
          </cell>
          <cell r="AC47">
            <v>8.4621813623067279</v>
          </cell>
          <cell r="AD47">
            <v>1.2118679481821981</v>
          </cell>
          <cell r="AE47">
            <v>1.9749268700376097</v>
          </cell>
          <cell r="AF47">
            <v>5.1328875888006689</v>
          </cell>
        </row>
        <row r="48">
          <cell r="W48" t="str">
            <v>SU063</v>
          </cell>
          <cell r="X48">
            <v>994</v>
          </cell>
          <cell r="Y48">
            <v>57942.277866018878</v>
          </cell>
          <cell r="Z48">
            <v>76076.363636363618</v>
          </cell>
          <cell r="AA48">
            <v>53546.885382059801</v>
          </cell>
          <cell r="AB48">
            <v>39925.031519962649</v>
          </cell>
          <cell r="AC48">
            <v>10.767605633802816</v>
          </cell>
          <cell r="AD48">
            <v>1.8812877263581491</v>
          </cell>
          <cell r="AE48">
            <v>3.028169014084507</v>
          </cell>
          <cell r="AF48">
            <v>4.3088531187122729</v>
          </cell>
        </row>
        <row r="49">
          <cell r="W49" t="str">
            <v>SU064</v>
          </cell>
          <cell r="X49">
            <v>451</v>
          </cell>
          <cell r="Y49">
            <v>55576.819503849445</v>
          </cell>
          <cell r="Z49">
            <v>96518.082191780821</v>
          </cell>
          <cell r="AA49">
            <v>58201.111111111109</v>
          </cell>
          <cell r="AB49">
            <v>39047.240208877287</v>
          </cell>
          <cell r="AC49">
            <v>10.368070953436808</v>
          </cell>
          <cell r="AD49">
            <v>1.6186252771618626</v>
          </cell>
          <cell r="AE49">
            <v>1.3968957871396896</v>
          </cell>
          <cell r="AF49">
            <v>5.0953436807095338</v>
          </cell>
        </row>
        <row r="50">
          <cell r="W50" t="str">
            <v>SU065</v>
          </cell>
          <cell r="X50">
            <v>3906</v>
          </cell>
          <cell r="Y50">
            <v>76972.194716730359</v>
          </cell>
          <cell r="Z50">
            <v>114429.72222222222</v>
          </cell>
          <cell r="AA50">
            <v>63767.099845599601</v>
          </cell>
          <cell r="AB50">
            <v>48588.389184445783</v>
          </cell>
          <cell r="AC50">
            <v>7.7048131080389144</v>
          </cell>
          <cell r="AD50">
            <v>0.55299539170506917</v>
          </cell>
          <cell r="AE50">
            <v>1.9897593445980539</v>
          </cell>
          <cell r="AF50">
            <v>4.6679467485919099</v>
          </cell>
        </row>
        <row r="51">
          <cell r="W51" t="str">
            <v>SU066</v>
          </cell>
          <cell r="X51">
            <v>1696</v>
          </cell>
          <cell r="Y51">
            <v>58030.822707953863</v>
          </cell>
          <cell r="Z51">
            <v>82748.218340611347</v>
          </cell>
          <cell r="AA51">
            <v>56124.302496328921</v>
          </cell>
          <cell r="AB51">
            <v>45444.903458009874</v>
          </cell>
          <cell r="AC51">
            <v>9.7110849056603765</v>
          </cell>
          <cell r="AD51">
            <v>1.0801886792452831</v>
          </cell>
          <cell r="AE51">
            <v>1.6061320754716983</v>
          </cell>
          <cell r="AF51">
            <v>4.1774764150943406</v>
          </cell>
        </row>
        <row r="52">
          <cell r="W52" t="str">
            <v>SU067</v>
          </cell>
          <cell r="X52">
            <v>1308</v>
          </cell>
          <cell r="Y52">
            <v>50182.853619602523</v>
          </cell>
          <cell r="Z52">
            <v>82713.717885679158</v>
          </cell>
          <cell r="AA52">
            <v>49740.123181377312</v>
          </cell>
          <cell r="AB52">
            <v>42138.368673050616</v>
          </cell>
          <cell r="AC52">
            <v>9.5787461773700269</v>
          </cell>
          <cell r="AD52">
            <v>1.2438837920489296</v>
          </cell>
          <cell r="AE52">
            <v>1.5764525993883789</v>
          </cell>
          <cell r="AF52">
            <v>6.7064220183486221</v>
          </cell>
        </row>
        <row r="53">
          <cell r="W53" t="str">
            <v>SU068</v>
          </cell>
          <cell r="X53">
            <v>1372</v>
          </cell>
          <cell r="Y53">
            <v>54420.156393744248</v>
          </cell>
          <cell r="Z53">
            <v>89119.230769230766</v>
          </cell>
          <cell r="AA53">
            <v>59290.836653386454</v>
          </cell>
          <cell r="AB53">
            <v>39557.716186252772</v>
          </cell>
          <cell r="AC53">
            <v>7.9227405247813412</v>
          </cell>
          <cell r="AD53">
            <v>0.94752186588921283</v>
          </cell>
          <cell r="AE53">
            <v>1.8294460641399417</v>
          </cell>
          <cell r="AF53">
            <v>3.2871720116618075</v>
          </cell>
        </row>
        <row r="54">
          <cell r="W54" t="str">
            <v>SU069</v>
          </cell>
          <cell r="X54">
            <v>1249</v>
          </cell>
          <cell r="Y54">
            <v>57896.002837528598</v>
          </cell>
          <cell r="Z54">
            <v>95293.043478260865</v>
          </cell>
          <cell r="AA54">
            <v>47417.665384615386</v>
          </cell>
          <cell r="AB54">
            <v>36300.943987823455</v>
          </cell>
          <cell r="AC54">
            <v>8.7469975980784618</v>
          </cell>
          <cell r="AD54">
            <v>0.92073658927141722</v>
          </cell>
          <cell r="AE54">
            <v>2.0816653322658123</v>
          </cell>
          <cell r="AF54">
            <v>5.2602081665332268</v>
          </cell>
        </row>
        <row r="55">
          <cell r="W55" t="str">
            <v>Grand Total</v>
          </cell>
          <cell r="X55">
            <v>76975</v>
          </cell>
          <cell r="Y55">
            <v>62078.012875590175</v>
          </cell>
          <cell r="Z55">
            <v>85389.138029179347</v>
          </cell>
          <cell r="AA55">
            <v>56139.284316709432</v>
          </cell>
          <cell r="AB55">
            <v>42640.838365112992</v>
          </cell>
          <cell r="AC55">
            <v>9.845228788567713</v>
          </cell>
          <cell r="AD55">
            <v>1.1228450795712892</v>
          </cell>
          <cell r="AE55">
            <v>2.390282559272491</v>
          </cell>
          <cell r="AF55">
            <v>4.7092692432607981</v>
          </cell>
        </row>
      </sheetData>
      <sheetData sheetId="3"/>
      <sheetData sheetId="4">
        <row r="1">
          <cell r="Y1" t="str">
            <v>Average Salary</v>
          </cell>
          <cell r="AC1" t="str">
            <v>Per 100</v>
          </cell>
        </row>
        <row r="2">
          <cell r="W2" t="str">
            <v>Row Labels</v>
          </cell>
          <cell r="X2" t="str">
            <v>Enrollment</v>
          </cell>
          <cell r="Y2" t="str">
            <v>Teacher</v>
          </cell>
          <cell r="Z2" t="str">
            <v>Leaders</v>
          </cell>
          <cell r="AA2" t="str">
            <v>Student Services</v>
          </cell>
          <cell r="AB2" t="str">
            <v>Support Services</v>
          </cell>
          <cell r="AC2" t="str">
            <v>Teacher</v>
          </cell>
          <cell r="AD2" t="str">
            <v>Leaders</v>
          </cell>
          <cell r="AE2" t="str">
            <v>Student Services</v>
          </cell>
          <cell r="AF2" t="str">
            <v>Support Services</v>
          </cell>
        </row>
        <row r="3">
          <cell r="W3" t="str">
            <v>SU001</v>
          </cell>
          <cell r="X3">
            <v>1292</v>
          </cell>
          <cell r="Y3">
            <v>65242.790262172282</v>
          </cell>
          <cell r="Z3">
            <v>152348.58115777528</v>
          </cell>
          <cell r="AA3">
            <v>63108.198051948049</v>
          </cell>
          <cell r="AB3">
            <v>39254.026490066222</v>
          </cell>
          <cell r="AC3">
            <v>9.0928792569659436</v>
          </cell>
          <cell r="AD3">
            <v>1.3637770897832815</v>
          </cell>
          <cell r="AE3">
            <v>1.9071207430340558</v>
          </cell>
          <cell r="AF3">
            <v>5.8436532507739942</v>
          </cell>
        </row>
        <row r="4">
          <cell r="W4" t="str">
            <v>SU002</v>
          </cell>
          <cell r="X4">
            <v>822</v>
          </cell>
          <cell r="Y4">
            <v>62947.628816218166</v>
          </cell>
          <cell r="Z4">
            <v>86477.08294674338</v>
          </cell>
          <cell r="AA4">
            <v>65141.946308724822</v>
          </cell>
          <cell r="AB4">
            <v>47034.072620215898</v>
          </cell>
          <cell r="AC4">
            <v>10.081508515815084</v>
          </cell>
          <cell r="AD4">
            <v>1.1800729927007299</v>
          </cell>
          <cell r="AE4">
            <v>1.812652068126521</v>
          </cell>
          <cell r="AF4">
            <v>6.1982968369829683</v>
          </cell>
        </row>
        <row r="5">
          <cell r="W5" t="str">
            <v>SU003</v>
          </cell>
          <cell r="X5">
            <v>1606</v>
          </cell>
          <cell r="Y5">
            <v>64303.421115232442</v>
          </cell>
          <cell r="Z5">
            <v>93556.941747572811</v>
          </cell>
          <cell r="AA5">
            <v>61784.339303158595</v>
          </cell>
          <cell r="AB5">
            <v>42449.854596728706</v>
          </cell>
          <cell r="AC5">
            <v>10.072229140722293</v>
          </cell>
          <cell r="AD5">
            <v>1.2826899128268991</v>
          </cell>
          <cell r="AE5">
            <v>1.9122042341220422</v>
          </cell>
          <cell r="AF5">
            <v>5.5199252801992529</v>
          </cell>
        </row>
        <row r="6">
          <cell r="W6" t="str">
            <v>SU004</v>
          </cell>
          <cell r="X6">
            <v>1135</v>
          </cell>
          <cell r="Y6">
            <v>53685.167657746926</v>
          </cell>
          <cell r="Z6">
            <v>85637.993023255811</v>
          </cell>
          <cell r="AA6">
            <v>51327.893412287201</v>
          </cell>
          <cell r="AB6">
            <v>46349.91846522782</v>
          </cell>
          <cell r="AC6">
            <v>10.667841409691633</v>
          </cell>
          <cell r="AD6">
            <v>1.5154185022026432</v>
          </cell>
          <cell r="AE6">
            <v>2.3806167400881053</v>
          </cell>
          <cell r="AF6">
            <v>5.1436123348017633</v>
          </cell>
        </row>
        <row r="7">
          <cell r="W7" t="str">
            <v>SU005</v>
          </cell>
          <cell r="X7">
            <v>2715</v>
          </cell>
          <cell r="Y7">
            <v>55019.306644966666</v>
          </cell>
          <cell r="Z7">
            <v>96300.033750000002</v>
          </cell>
          <cell r="AA7">
            <v>57354.854090150242</v>
          </cell>
          <cell r="AB7">
            <v>44412.194477346769</v>
          </cell>
          <cell r="AC7">
            <v>9.2788213627992633</v>
          </cell>
          <cell r="AD7">
            <v>0.88397790055248626</v>
          </cell>
          <cell r="AE7">
            <v>2.2062615101289134</v>
          </cell>
          <cell r="AF7">
            <v>4.9753222836095761</v>
          </cell>
        </row>
        <row r="8">
          <cell r="W8" t="str">
            <v>SU006</v>
          </cell>
          <cell r="X8">
            <v>1088</v>
          </cell>
          <cell r="Y8">
            <v>63204.581549122828</v>
          </cell>
          <cell r="Z8">
            <v>81507.78877887789</v>
          </cell>
          <cell r="AA8">
            <v>53175.863224941335</v>
          </cell>
          <cell r="AB8">
            <v>46973.926530612247</v>
          </cell>
          <cell r="AC8">
            <v>10.557464834099264</v>
          </cell>
          <cell r="AD8">
            <v>1.3924632352941178</v>
          </cell>
          <cell r="AE8">
            <v>4.1125919117647056</v>
          </cell>
          <cell r="AF8">
            <v>5.6295955882352944</v>
          </cell>
        </row>
        <row r="9">
          <cell r="W9" t="str">
            <v>SU007</v>
          </cell>
          <cell r="X9">
            <v>2142</v>
          </cell>
          <cell r="Y9">
            <v>75751.410651677885</v>
          </cell>
          <cell r="Z9">
            <v>109522.61176470589</v>
          </cell>
          <cell r="AA9">
            <v>64164.794457831333</v>
          </cell>
          <cell r="AB9">
            <v>36704.19820305481</v>
          </cell>
          <cell r="AC9">
            <v>8.3888888888888893</v>
          </cell>
          <cell r="AD9">
            <v>0.79365079365079361</v>
          </cell>
          <cell r="AE9">
            <v>1.9374416433239963</v>
          </cell>
          <cell r="AF9">
            <v>5.1960784313725483</v>
          </cell>
        </row>
        <row r="10">
          <cell r="W10" t="str">
            <v>SU009</v>
          </cell>
          <cell r="X10">
            <v>1179</v>
          </cell>
          <cell r="Y10">
            <v>57298.210015218501</v>
          </cell>
          <cell r="Z10">
            <v>86214.722222222219</v>
          </cell>
          <cell r="AA10">
            <v>54740.446313504712</v>
          </cell>
          <cell r="AB10">
            <v>43147.673501577294</v>
          </cell>
          <cell r="AC10">
            <v>11.703986429177267</v>
          </cell>
          <cell r="AD10">
            <v>1.2213740458015268</v>
          </cell>
          <cell r="AE10">
            <v>3.1261662425784564</v>
          </cell>
          <cell r="AF10">
            <v>6.4529262086513981</v>
          </cell>
        </row>
        <row r="11">
          <cell r="W11" t="str">
            <v>SU010</v>
          </cell>
          <cell r="X11">
            <v>1397</v>
          </cell>
          <cell r="Y11">
            <v>64261.774562071587</v>
          </cell>
          <cell r="Z11">
            <v>103098.81818181818</v>
          </cell>
          <cell r="AA11">
            <v>63082</v>
          </cell>
          <cell r="AB11">
            <v>41164.1015625</v>
          </cell>
          <cell r="AC11">
            <v>9.3987115246957771</v>
          </cell>
          <cell r="AD11">
            <v>0.78740157480314954</v>
          </cell>
          <cell r="AE11">
            <v>2.0042949176807445</v>
          </cell>
          <cell r="AF11">
            <v>5.4974946313528994</v>
          </cell>
        </row>
        <row r="12">
          <cell r="W12" t="str">
            <v>SU011</v>
          </cell>
          <cell r="X12">
            <v>574</v>
          </cell>
          <cell r="Y12">
            <v>40503.10126718213</v>
          </cell>
          <cell r="Z12">
            <v>57227.348695652174</v>
          </cell>
          <cell r="AA12">
            <v>55394.079230769232</v>
          </cell>
          <cell r="AB12">
            <v>38971.321359223293</v>
          </cell>
          <cell r="AC12">
            <v>16.222996515679444</v>
          </cell>
          <cell r="AD12">
            <v>2.003484320557491</v>
          </cell>
          <cell r="AE12">
            <v>2.264808362369338</v>
          </cell>
          <cell r="AF12">
            <v>5.3832752613240418</v>
          </cell>
        </row>
        <row r="13">
          <cell r="W13" t="str">
            <v>SU012</v>
          </cell>
          <cell r="X13">
            <v>2293</v>
          </cell>
          <cell r="Y13">
            <v>62692.738245462388</v>
          </cell>
          <cell r="Z13">
            <v>53462.005524861859</v>
          </cell>
          <cell r="AA13">
            <v>51726.175227963518</v>
          </cell>
          <cell r="AB13">
            <v>27286.988254183361</v>
          </cell>
          <cell r="AC13">
            <v>10.091583078935892</v>
          </cell>
          <cell r="AD13">
            <v>1.5787178368948978</v>
          </cell>
          <cell r="AE13">
            <v>2.8696031399912783</v>
          </cell>
          <cell r="AF13">
            <v>7.4016572176188404</v>
          </cell>
        </row>
        <row r="14">
          <cell r="W14" t="str">
            <v>SU014</v>
          </cell>
          <cell r="X14">
            <v>3901</v>
          </cell>
          <cell r="Y14">
            <v>75724.398631506134</v>
          </cell>
          <cell r="Z14">
            <v>52213.400659133709</v>
          </cell>
          <cell r="AA14">
            <v>53142.505857040407</v>
          </cell>
          <cell r="AB14">
            <v>43599.236492917524</v>
          </cell>
          <cell r="AC14">
            <v>10.002819789797487</v>
          </cell>
          <cell r="AD14">
            <v>1.6334273263265828</v>
          </cell>
          <cell r="AE14">
            <v>2.1445783132530116</v>
          </cell>
          <cell r="AF14">
            <v>4.5785695975390919</v>
          </cell>
        </row>
        <row r="15">
          <cell r="W15" t="str">
            <v>SU015</v>
          </cell>
          <cell r="X15">
            <v>3135</v>
          </cell>
          <cell r="Y15">
            <v>76307.653330280009</v>
          </cell>
          <cell r="Z15">
            <v>94668.397377049187</v>
          </cell>
          <cell r="AA15">
            <v>60150.687861271676</v>
          </cell>
          <cell r="AB15">
            <v>38777.843784409648</v>
          </cell>
          <cell r="AC15">
            <v>9.7505582137161078</v>
          </cell>
          <cell r="AD15">
            <v>0.97288676236044658</v>
          </cell>
          <cell r="AE15">
            <v>2.7591706539074958</v>
          </cell>
          <cell r="AF15">
            <v>6.1298245614035078</v>
          </cell>
        </row>
        <row r="16">
          <cell r="W16" t="str">
            <v>SU016</v>
          </cell>
          <cell r="X16">
            <v>2378</v>
          </cell>
          <cell r="Y16">
            <v>80499.260536224654</v>
          </cell>
          <cell r="Z16">
            <v>133054.66165413536</v>
          </cell>
          <cell r="AA16">
            <v>50026.539753639416</v>
          </cell>
          <cell r="AB16">
            <v>39359.70464135021</v>
          </cell>
          <cell r="AC16">
            <v>9.2695542472666101</v>
          </cell>
          <cell r="AD16">
            <v>0.55929352396972243</v>
          </cell>
          <cell r="AE16">
            <v>3.0042052144659377</v>
          </cell>
          <cell r="AF16">
            <v>6.1791421362489487</v>
          </cell>
        </row>
        <row r="17">
          <cell r="W17" t="str">
            <v>SU017</v>
          </cell>
          <cell r="X17">
            <v>752</v>
          </cell>
          <cell r="Y17">
            <v>65037.183098591551</v>
          </cell>
          <cell r="Z17">
            <v>105430.13513513515</v>
          </cell>
          <cell r="AA17">
            <v>55793.553378029901</v>
          </cell>
          <cell r="AB17">
            <v>50814.042978510748</v>
          </cell>
          <cell r="AC17">
            <v>12.746010638297872</v>
          </cell>
          <cell r="AD17">
            <v>0.98404255319148926</v>
          </cell>
          <cell r="AE17">
            <v>2.5784574468085113</v>
          </cell>
          <cell r="AF17">
            <v>5.3218085106382969</v>
          </cell>
        </row>
        <row r="18">
          <cell r="W18" t="str">
            <v>SU019</v>
          </cell>
          <cell r="X18">
            <v>180</v>
          </cell>
          <cell r="Y18">
            <v>47159.953488372092</v>
          </cell>
          <cell r="Z18">
            <v>64216</v>
          </cell>
          <cell r="AA18">
            <v>42992.523364485976</v>
          </cell>
          <cell r="AB18">
            <v>39925.243770314191</v>
          </cell>
          <cell r="AC18">
            <v>11.944444444444445</v>
          </cell>
          <cell r="AD18">
            <v>3.3333333333333335</v>
          </cell>
          <cell r="AE18">
            <v>2.3777777777777778</v>
          </cell>
          <cell r="AF18">
            <v>5.1277777777777782</v>
          </cell>
        </row>
        <row r="19">
          <cell r="W19" t="str">
            <v>SU020</v>
          </cell>
          <cell r="X19">
            <v>1680</v>
          </cell>
          <cell r="Y19">
            <v>51307.521533967498</v>
          </cell>
          <cell r="Z19">
            <v>85439.502762430944</v>
          </cell>
          <cell r="AA19">
            <v>56659.474375821294</v>
          </cell>
          <cell r="AB19">
            <v>41046.868787276348</v>
          </cell>
          <cell r="AC19">
            <v>9.933779761904761</v>
          </cell>
          <cell r="AD19">
            <v>1.0773809523809523</v>
          </cell>
          <cell r="AE19">
            <v>2.2648809523809521</v>
          </cell>
          <cell r="AF19">
            <v>5.9880952380952372</v>
          </cell>
        </row>
        <row r="20">
          <cell r="W20" t="str">
            <v>SU021</v>
          </cell>
          <cell r="X20">
            <v>1649</v>
          </cell>
          <cell r="Y20">
            <v>51700.728575694244</v>
          </cell>
          <cell r="Z20">
            <v>94388.133333333331</v>
          </cell>
          <cell r="AA20">
            <v>55943.416666666664</v>
          </cell>
          <cell r="AB20">
            <v>43816.977749657279</v>
          </cell>
          <cell r="AC20">
            <v>10.154639175257731</v>
          </cell>
          <cell r="AD20">
            <v>0.90964220739842339</v>
          </cell>
          <cell r="AE20">
            <v>2.1831412977562157</v>
          </cell>
          <cell r="AF20">
            <v>5.7507580351728329</v>
          </cell>
        </row>
        <row r="21">
          <cell r="W21" t="str">
            <v>SU022</v>
          </cell>
          <cell r="X21">
            <v>1545</v>
          </cell>
          <cell r="Y21">
            <v>61551.544963281143</v>
          </cell>
          <cell r="Z21">
            <v>107669.4</v>
          </cell>
          <cell r="AA21">
            <v>56938.320498716537</v>
          </cell>
          <cell r="AB21">
            <v>43173.409350057016</v>
          </cell>
          <cell r="AC21">
            <v>9.3423948220064723</v>
          </cell>
          <cell r="AD21">
            <v>0.64724919093851141</v>
          </cell>
          <cell r="AE21">
            <v>1.7650485436893202</v>
          </cell>
          <cell r="AF21">
            <v>2.8381877022653721</v>
          </cell>
        </row>
        <row r="22">
          <cell r="W22" t="str">
            <v>SU023</v>
          </cell>
          <cell r="X22">
            <v>2436</v>
          </cell>
          <cell r="Y22">
            <v>66341.008412240422</v>
          </cell>
          <cell r="Z22">
            <v>58912.025595238112</v>
          </cell>
          <cell r="AA22">
            <v>59630.596750000004</v>
          </cell>
          <cell r="AB22">
            <v>49470.820512820515</v>
          </cell>
          <cell r="AC22">
            <v>10.101395730706074</v>
          </cell>
          <cell r="AD22">
            <v>1.3793103448275861</v>
          </cell>
          <cell r="AE22">
            <v>1.6420361247947455</v>
          </cell>
          <cell r="AF22">
            <v>3.5221674876847291</v>
          </cell>
        </row>
        <row r="23">
          <cell r="W23" t="str">
            <v>SU024</v>
          </cell>
          <cell r="X23">
            <v>530</v>
          </cell>
          <cell r="Y23">
            <v>55602.338983050846</v>
          </cell>
          <cell r="Z23">
            <v>100567.71428571429</v>
          </cell>
          <cell r="AA23">
            <v>52221.446862996163</v>
          </cell>
          <cell r="AB23">
            <v>43699.267231509046</v>
          </cell>
          <cell r="AC23">
            <v>11.132075471698114</v>
          </cell>
          <cell r="AD23">
            <v>1.3207547169811322</v>
          </cell>
          <cell r="AE23">
            <v>2.9471698113207543</v>
          </cell>
          <cell r="AF23">
            <v>8.2396226415094329</v>
          </cell>
        </row>
        <row r="24">
          <cell r="W24" t="str">
            <v>SU025</v>
          </cell>
          <cell r="X24">
            <v>1613</v>
          </cell>
          <cell r="Y24">
            <v>53435.968822939976</v>
          </cell>
          <cell r="Z24">
            <v>79921.370388116891</v>
          </cell>
          <cell r="AA24">
            <v>50396.758420412538</v>
          </cell>
          <cell r="AB24">
            <v>39485.518657993824</v>
          </cell>
          <cell r="AC24">
            <v>10.332362058276503</v>
          </cell>
          <cell r="AD24">
            <v>1.2938623682579049</v>
          </cell>
          <cell r="AE24">
            <v>2.4977681339119644</v>
          </cell>
          <cell r="AF24">
            <v>4.527278363298203</v>
          </cell>
        </row>
        <row r="25">
          <cell r="W25" t="str">
            <v>SU026</v>
          </cell>
          <cell r="X25">
            <v>1604</v>
          </cell>
          <cell r="Y25">
            <v>69157.455470737914</v>
          </cell>
          <cell r="Z25">
            <v>89423.987538940812</v>
          </cell>
          <cell r="AA25">
            <v>64359.227642276419</v>
          </cell>
          <cell r="AB25">
            <v>48513.409850355951</v>
          </cell>
          <cell r="AC25">
            <v>7.3503740648379043</v>
          </cell>
          <cell r="AD25">
            <v>1.0006234413965087</v>
          </cell>
          <cell r="AE25">
            <v>1.5336658354114714</v>
          </cell>
          <cell r="AF25">
            <v>4.2911471321695762</v>
          </cell>
        </row>
        <row r="26">
          <cell r="W26" t="str">
            <v>SU027</v>
          </cell>
          <cell r="X26">
            <v>1478</v>
          </cell>
          <cell r="Y26">
            <v>57521.968134957824</v>
          </cell>
          <cell r="Z26">
            <v>88661.522086216079</v>
          </cell>
          <cell r="AA26">
            <v>65021.680672268907</v>
          </cell>
          <cell r="AB26">
            <v>45381.739600216097</v>
          </cell>
          <cell r="AC26">
            <v>10.828822733423547</v>
          </cell>
          <cell r="AD26">
            <v>1.2713125845737483</v>
          </cell>
          <cell r="AE26">
            <v>1.6102841677943167</v>
          </cell>
          <cell r="AF26">
            <v>5.009472259810555</v>
          </cell>
        </row>
        <row r="27">
          <cell r="W27" t="str">
            <v>SU028</v>
          </cell>
          <cell r="X27">
            <v>786</v>
          </cell>
          <cell r="Y27">
            <v>61478.600973236011</v>
          </cell>
          <cell r="Z27">
            <v>96301.545454545456</v>
          </cell>
          <cell r="AA27">
            <v>40359.889705882357</v>
          </cell>
          <cell r="AB27">
            <v>44044.359504132233</v>
          </cell>
          <cell r="AC27">
            <v>10.458015267175574</v>
          </cell>
          <cell r="AD27">
            <v>1.3994910941475827</v>
          </cell>
          <cell r="AE27">
            <v>3.4605597964376589</v>
          </cell>
          <cell r="AF27">
            <v>6.1577608142493636</v>
          </cell>
        </row>
        <row r="28">
          <cell r="W28" t="str">
            <v>SU030</v>
          </cell>
          <cell r="X28">
            <v>1053</v>
          </cell>
          <cell r="Y28">
            <v>53559.720428473753</v>
          </cell>
          <cell r="Z28">
            <v>81269.153846153844</v>
          </cell>
          <cell r="AA28">
            <v>56045.055941941326</v>
          </cell>
          <cell r="AB28">
            <v>41263.849614395884</v>
          </cell>
          <cell r="AC28">
            <v>12.500474833808168</v>
          </cell>
          <cell r="AD28">
            <v>1.2345679012345678</v>
          </cell>
          <cell r="AE28">
            <v>3.1405508072174744</v>
          </cell>
          <cell r="AF28">
            <v>5.9107312440645776</v>
          </cell>
        </row>
        <row r="29">
          <cell r="W29" t="str">
            <v>SU031</v>
          </cell>
          <cell r="X29">
            <v>2344</v>
          </cell>
          <cell r="Y29">
            <v>52625.31021723881</v>
          </cell>
          <cell r="Z29">
            <v>83927.55332547029</v>
          </cell>
          <cell r="AA29">
            <v>38981.844054269342</v>
          </cell>
          <cell r="AB29">
            <v>38124.599041866262</v>
          </cell>
          <cell r="AC29">
            <v>10.697598122866895</v>
          </cell>
          <cell r="AD29">
            <v>1.0670435153583617</v>
          </cell>
          <cell r="AE29">
            <v>3.3098720136518773</v>
          </cell>
          <cell r="AF29">
            <v>6.1446245733788425</v>
          </cell>
        </row>
        <row r="30">
          <cell r="W30" t="str">
            <v>SU032</v>
          </cell>
          <cell r="X30">
            <v>1436</v>
          </cell>
          <cell r="Y30">
            <v>64190.317670416945</v>
          </cell>
          <cell r="Z30">
            <v>91378.860759493662</v>
          </cell>
          <cell r="AA30">
            <v>65150.656767561384</v>
          </cell>
          <cell r="AB30">
            <v>42474.742206945601</v>
          </cell>
          <cell r="AC30">
            <v>10.522284122562674</v>
          </cell>
          <cell r="AD30">
            <v>1.1002785515320335</v>
          </cell>
          <cell r="AE30">
            <v>2.4387186629526463</v>
          </cell>
          <cell r="AF30">
            <v>5.8753481894150408</v>
          </cell>
        </row>
        <row r="31">
          <cell r="W31" t="str">
            <v>SU033</v>
          </cell>
          <cell r="X31">
            <v>761</v>
          </cell>
          <cell r="Y31">
            <v>57229.954685876131</v>
          </cell>
          <cell r="Z31">
            <v>89241.333606557382</v>
          </cell>
          <cell r="AA31">
            <v>49658.352100840333</v>
          </cell>
          <cell r="AB31">
            <v>42359.199738903408</v>
          </cell>
          <cell r="AC31">
            <v>10.67148488830486</v>
          </cell>
          <cell r="AD31">
            <v>1.6031537450722733</v>
          </cell>
          <cell r="AE31">
            <v>3.1274638633377134</v>
          </cell>
          <cell r="AF31">
            <v>5.0328515111695147</v>
          </cell>
        </row>
        <row r="32">
          <cell r="W32" t="str">
            <v>SU034</v>
          </cell>
          <cell r="X32">
            <v>1023</v>
          </cell>
          <cell r="Y32">
            <v>54881.062317022166</v>
          </cell>
          <cell r="Z32">
            <v>84133.583333333328</v>
          </cell>
          <cell r="AA32">
            <v>45179.324215607405</v>
          </cell>
          <cell r="AB32">
            <v>35623.770498493985</v>
          </cell>
          <cell r="AC32">
            <v>11.686217008797653</v>
          </cell>
          <cell r="AD32">
            <v>1.1730205278592376</v>
          </cell>
          <cell r="AE32">
            <v>2.4301075268817205</v>
          </cell>
          <cell r="AF32">
            <v>4.7901857282502451</v>
          </cell>
        </row>
        <row r="33">
          <cell r="W33" t="str">
            <v>SU035</v>
          </cell>
          <cell r="X33">
            <v>941</v>
          </cell>
          <cell r="Y33">
            <v>57608.359687961209</v>
          </cell>
          <cell r="Z33">
            <v>79688.76712328766</v>
          </cell>
          <cell r="AA33">
            <v>50997.580645161303</v>
          </cell>
          <cell r="AB33">
            <v>40731.174325309992</v>
          </cell>
          <cell r="AC33">
            <v>10.080765143464401</v>
          </cell>
          <cell r="AD33">
            <v>1.5515409139213603</v>
          </cell>
          <cell r="AE33">
            <v>2.6354941551540905</v>
          </cell>
          <cell r="AF33">
            <v>7.2848034006376201</v>
          </cell>
        </row>
        <row r="34">
          <cell r="W34" t="str">
            <v>SU036</v>
          </cell>
          <cell r="X34">
            <v>1325</v>
          </cell>
          <cell r="Y34">
            <v>62870.084759397396</v>
          </cell>
          <cell r="Z34">
            <v>72754.881764705875</v>
          </cell>
          <cell r="AA34">
            <v>48595.963177492762</v>
          </cell>
          <cell r="AB34">
            <v>40674.413443024678</v>
          </cell>
          <cell r="AC34">
            <v>10.32</v>
          </cell>
          <cell r="AD34">
            <v>1.2830188679245282</v>
          </cell>
          <cell r="AE34">
            <v>3.6483018867924524</v>
          </cell>
          <cell r="AF34">
            <v>4.3116981132075471</v>
          </cell>
        </row>
        <row r="35">
          <cell r="W35" t="str">
            <v>SU040</v>
          </cell>
          <cell r="X35">
            <v>2010</v>
          </cell>
          <cell r="Y35">
            <v>65683.165329493233</v>
          </cell>
          <cell r="Z35">
            <v>114545.12918489045</v>
          </cell>
          <cell r="AA35">
            <v>54652.778488330448</v>
          </cell>
          <cell r="AB35">
            <v>55226.575715648331</v>
          </cell>
          <cell r="AC35">
            <v>7.2552238805970157</v>
          </cell>
          <cell r="AD35">
            <v>0.94526865671641791</v>
          </cell>
          <cell r="AE35">
            <v>2.4311691542288556</v>
          </cell>
          <cell r="AF35">
            <v>4.1674975124378113</v>
          </cell>
        </row>
        <row r="36">
          <cell r="W36" t="str">
            <v>SU042</v>
          </cell>
          <cell r="X36">
            <v>1660</v>
          </cell>
          <cell r="Y36">
            <v>67463.243706124413</v>
          </cell>
          <cell r="Z36">
            <v>52707.013698630137</v>
          </cell>
          <cell r="AA36">
            <v>57516.039163220645</v>
          </cell>
          <cell r="AB36">
            <v>47109.403569372487</v>
          </cell>
          <cell r="AC36">
            <v>9.9542168674698797</v>
          </cell>
          <cell r="AD36">
            <v>2.1987951807228914</v>
          </cell>
          <cell r="AE36">
            <v>2.4765060240963854</v>
          </cell>
          <cell r="AF36">
            <v>4.1855421686746981</v>
          </cell>
        </row>
        <row r="37">
          <cell r="W37" t="str">
            <v>SU046</v>
          </cell>
          <cell r="X37">
            <v>673</v>
          </cell>
          <cell r="Y37">
            <v>57808.342868494241</v>
          </cell>
          <cell r="Z37">
            <v>77121.44927536232</v>
          </cell>
          <cell r="AA37">
            <v>43913.157383966238</v>
          </cell>
          <cell r="AB37">
            <v>37680.437043966325</v>
          </cell>
          <cell r="AC37">
            <v>14.959881129271913</v>
          </cell>
          <cell r="AD37">
            <v>2.5631500742942048</v>
          </cell>
          <cell r="AE37">
            <v>3.5215453194650825</v>
          </cell>
          <cell r="AF37">
            <v>7.9420505200594365</v>
          </cell>
        </row>
        <row r="38">
          <cell r="W38" t="str">
            <v>SU047</v>
          </cell>
          <cell r="X38">
            <v>992</v>
          </cell>
          <cell r="Y38">
            <v>58392.48547564492</v>
          </cell>
          <cell r="Z38">
            <v>49733.574426229512</v>
          </cell>
          <cell r="AA38">
            <v>44889.757605304214</v>
          </cell>
          <cell r="AB38">
            <v>36445.768404691247</v>
          </cell>
          <cell r="AC38">
            <v>13.638104838709678</v>
          </cell>
          <cell r="AD38">
            <v>3.0745967741935485</v>
          </cell>
          <cell r="AE38">
            <v>5.1693548387096779</v>
          </cell>
          <cell r="AF38">
            <v>7.134072580645161</v>
          </cell>
        </row>
        <row r="39">
          <cell r="W39" t="str">
            <v>SU048</v>
          </cell>
          <cell r="X39">
            <v>2297</v>
          </cell>
          <cell r="Y39">
            <v>62310.205120175378</v>
          </cell>
          <cell r="Z39">
            <v>87743.419949706629</v>
          </cell>
          <cell r="AA39">
            <v>61400.382409177822</v>
          </cell>
          <cell r="AB39">
            <v>48395.124233288276</v>
          </cell>
          <cell r="AC39">
            <v>11.121462777535914</v>
          </cell>
          <cell r="AD39">
            <v>1.0387461906835003</v>
          </cell>
          <cell r="AE39">
            <v>2.504571179799739</v>
          </cell>
          <cell r="AF39">
            <v>4.1876360470178504</v>
          </cell>
        </row>
        <row r="40">
          <cell r="W40" t="str">
            <v>SU049</v>
          </cell>
          <cell r="X40">
            <v>563</v>
          </cell>
          <cell r="Y40">
            <v>59133.275965314409</v>
          </cell>
          <cell r="Z40">
            <v>92163.947990543733</v>
          </cell>
          <cell r="AA40">
            <v>62717.262930676327</v>
          </cell>
          <cell r="AB40">
            <v>38163.79196840027</v>
          </cell>
          <cell r="AC40">
            <v>11.538312611012435</v>
          </cell>
          <cell r="AD40">
            <v>1.5026642984014211</v>
          </cell>
          <cell r="AE40">
            <v>3.2504442999999994</v>
          </cell>
          <cell r="AF40">
            <v>5.3960923623445813</v>
          </cell>
        </row>
        <row r="41">
          <cell r="W41" t="str">
            <v>SU051</v>
          </cell>
          <cell r="X41">
            <v>1049</v>
          </cell>
          <cell r="Y41">
            <v>62782.396454825554</v>
          </cell>
          <cell r="Z41">
            <v>89157.279694854966</v>
          </cell>
          <cell r="AA41">
            <v>66617.572099262237</v>
          </cell>
          <cell r="AB41">
            <v>45683.452520866114</v>
          </cell>
          <cell r="AC41">
            <v>8.2605338417540537</v>
          </cell>
          <cell r="AD41">
            <v>1.3345948522402289</v>
          </cell>
          <cell r="AE41">
            <v>1.421353670162059</v>
          </cell>
          <cell r="AF41">
            <v>4.7856053384175405</v>
          </cell>
        </row>
        <row r="42">
          <cell r="W42" t="str">
            <v>SU052</v>
          </cell>
          <cell r="X42">
            <v>1083</v>
          </cell>
          <cell r="Y42">
            <v>58068.250166444734</v>
          </cell>
          <cell r="Z42">
            <v>81641.241666666654</v>
          </cell>
          <cell r="AA42">
            <v>52443.656657447646</v>
          </cell>
          <cell r="AB42">
            <v>43097.117706350087</v>
          </cell>
          <cell r="AC42">
            <v>11.09510618651893</v>
          </cell>
          <cell r="AD42">
            <v>1.10803324099723</v>
          </cell>
          <cell r="AE42">
            <v>2.3370267774699909</v>
          </cell>
          <cell r="AF42">
            <v>8.2446906740535528</v>
          </cell>
        </row>
        <row r="43">
          <cell r="W43" t="str">
            <v>SU054</v>
          </cell>
          <cell r="X43">
            <v>1319</v>
          </cell>
          <cell r="Y43">
            <v>61681.977186311786</v>
          </cell>
          <cell r="Z43">
            <v>94011.822125813444</v>
          </cell>
          <cell r="AA43">
            <v>60986.901983663942</v>
          </cell>
          <cell r="AB43">
            <v>53056.922794791855</v>
          </cell>
          <cell r="AC43">
            <v>11.963608794541319</v>
          </cell>
          <cell r="AD43">
            <v>1.3980288097043216</v>
          </cell>
          <cell r="AE43">
            <v>2.5989385898407886</v>
          </cell>
          <cell r="AF43">
            <v>4.1341925701288851</v>
          </cell>
        </row>
        <row r="44">
          <cell r="W44" t="str">
            <v>SU055</v>
          </cell>
          <cell r="X44">
            <v>259</v>
          </cell>
          <cell r="Y44">
            <v>73995.938697318008</v>
          </cell>
          <cell r="Z44">
            <v>109607</v>
          </cell>
          <cell r="AA44">
            <v>81399</v>
          </cell>
          <cell r="AB44">
            <v>52642.57575757576</v>
          </cell>
          <cell r="AC44">
            <v>10.077220077220078</v>
          </cell>
          <cell r="AD44">
            <v>0.38610038610038611</v>
          </cell>
          <cell r="AE44">
            <v>1.9305019305019304</v>
          </cell>
          <cell r="AF44">
            <v>2.5482625482625481</v>
          </cell>
        </row>
        <row r="45">
          <cell r="W45" t="str">
            <v>SU056</v>
          </cell>
          <cell r="X45">
            <v>1026</v>
          </cell>
          <cell r="Y45">
            <v>60292.577185912036</v>
          </cell>
          <cell r="Z45">
            <v>96753.545454545456</v>
          </cell>
          <cell r="AA45">
            <v>52933.25103980986</v>
          </cell>
          <cell r="AB45">
            <v>38605.743559718976</v>
          </cell>
          <cell r="AC45">
            <v>11.124756335282651</v>
          </cell>
          <cell r="AD45">
            <v>1.0721247563352825</v>
          </cell>
          <cell r="AE45">
            <v>3.2807017543859653</v>
          </cell>
          <cell r="AF45">
            <v>5.8265107212475629</v>
          </cell>
        </row>
        <row r="46">
          <cell r="W46" t="str">
            <v>SU060</v>
          </cell>
        </row>
        <row r="47">
          <cell r="W47" t="str">
            <v>SU061</v>
          </cell>
          <cell r="X47">
            <v>2393</v>
          </cell>
          <cell r="Y47">
            <v>57390.669483426384</v>
          </cell>
          <cell r="Z47">
            <v>59675.034482758623</v>
          </cell>
          <cell r="AA47">
            <v>54469.308176100625</v>
          </cell>
          <cell r="AB47">
            <v>41672.574273072059</v>
          </cell>
          <cell r="AC47">
            <v>8.3079816130380273</v>
          </cell>
          <cell r="AD47">
            <v>1.2118679481821981</v>
          </cell>
          <cell r="AE47">
            <v>1.9933138320100292</v>
          </cell>
          <cell r="AF47">
            <v>5.2887588800668617</v>
          </cell>
        </row>
        <row r="48">
          <cell r="W48" t="str">
            <v>SU063</v>
          </cell>
          <cell r="X48">
            <v>994</v>
          </cell>
          <cell r="Y48">
            <v>59443.177189409362</v>
          </cell>
          <cell r="Z48">
            <v>74413.933666851939</v>
          </cell>
          <cell r="AA48">
            <v>50728.785046728975</v>
          </cell>
          <cell r="AB48">
            <v>39659.26870952989</v>
          </cell>
          <cell r="AC48">
            <v>9.8792756539235427</v>
          </cell>
          <cell r="AD48">
            <v>1.6288732394366199</v>
          </cell>
          <cell r="AE48">
            <v>2.6911468812877262</v>
          </cell>
          <cell r="AF48">
            <v>4.1793762575452709</v>
          </cell>
        </row>
        <row r="49">
          <cell r="W49" t="str">
            <v>SU064</v>
          </cell>
          <cell r="X49">
            <v>451</v>
          </cell>
          <cell r="Y49">
            <v>56149.941921221864</v>
          </cell>
          <cell r="Z49">
            <v>97840.342465753434</v>
          </cell>
          <cell r="AA49">
            <v>53058.528767123287</v>
          </cell>
          <cell r="AB49">
            <v>41935.561663092027</v>
          </cell>
          <cell r="AC49">
            <v>11.033259423503328</v>
          </cell>
          <cell r="AD49">
            <v>1.6186252771618626</v>
          </cell>
          <cell r="AE49">
            <v>1.6186252771618626</v>
          </cell>
          <cell r="AF49">
            <v>4.9623059866962311</v>
          </cell>
        </row>
        <row r="50">
          <cell r="W50" t="str">
            <v>SU065</v>
          </cell>
          <cell r="X50">
            <v>3906</v>
          </cell>
          <cell r="Y50">
            <v>76185.618023908581</v>
          </cell>
          <cell r="Z50">
            <v>115017.12723577234</v>
          </cell>
          <cell r="AA50">
            <v>59862.802706552699</v>
          </cell>
          <cell r="AB50">
            <v>49127.990475663108</v>
          </cell>
          <cell r="AC50">
            <v>7.7526881720430127</v>
          </cell>
          <cell r="AD50">
            <v>0.62980030721966207</v>
          </cell>
          <cell r="AE50">
            <v>2.1566820276497691</v>
          </cell>
          <cell r="AF50">
            <v>4.6233998975934458</v>
          </cell>
        </row>
        <row r="51">
          <cell r="W51" t="str">
            <v>SU066</v>
          </cell>
          <cell r="X51">
            <v>1696</v>
          </cell>
          <cell r="Y51">
            <v>56983.933915211979</v>
          </cell>
          <cell r="Z51">
            <v>81320.432946145738</v>
          </cell>
          <cell r="AA51">
            <v>56115</v>
          </cell>
          <cell r="AB51">
            <v>44168.660463742424</v>
          </cell>
          <cell r="AC51">
            <v>9.4575471698113205</v>
          </cell>
          <cell r="AD51">
            <v>1.1167452830188678</v>
          </cell>
          <cell r="AE51">
            <v>1.5683962264150944</v>
          </cell>
          <cell r="AF51">
            <v>3.9923349056603783</v>
          </cell>
        </row>
        <row r="52">
          <cell r="W52" t="str">
            <v>SU067</v>
          </cell>
          <cell r="X52">
            <v>1308</v>
          </cell>
          <cell r="Y52">
            <v>49882.235604064736</v>
          </cell>
          <cell r="Z52">
            <v>88641.951219512193</v>
          </cell>
          <cell r="AA52">
            <v>51930.494766888667</v>
          </cell>
          <cell r="AB52">
            <v>44454.83146067417</v>
          </cell>
          <cell r="AC52">
            <v>10.156727828746178</v>
          </cell>
          <cell r="AD52">
            <v>1.0970948012232415</v>
          </cell>
          <cell r="AE52">
            <v>1.607033639143731</v>
          </cell>
          <cell r="AF52">
            <v>6.4640672782874606</v>
          </cell>
        </row>
        <row r="53">
          <cell r="W53" t="str">
            <v>SU068</v>
          </cell>
          <cell r="X53">
            <v>1372</v>
          </cell>
          <cell r="Y53">
            <v>56668.818525519848</v>
          </cell>
          <cell r="Z53">
            <v>83798.46666666666</v>
          </cell>
          <cell r="AA53">
            <v>60350.571428571428</v>
          </cell>
          <cell r="AB53">
            <v>42044.826839826834</v>
          </cell>
          <cell r="AC53">
            <v>7.7113702623906715</v>
          </cell>
          <cell r="AD53">
            <v>1.0932944606413995</v>
          </cell>
          <cell r="AE53">
            <v>1.7857142857142856</v>
          </cell>
          <cell r="AF53">
            <v>3.3673469387755102</v>
          </cell>
        </row>
        <row r="54">
          <cell r="W54" t="str">
            <v>SU069</v>
          </cell>
          <cell r="X54">
            <v>1249</v>
          </cell>
          <cell r="Y54">
            <v>59956.510910730387</v>
          </cell>
          <cell r="Z54">
            <v>96148.761904761908</v>
          </cell>
          <cell r="AA54">
            <v>61323.342364532022</v>
          </cell>
          <cell r="AB54">
            <v>39548.73332245963</v>
          </cell>
          <cell r="AC54">
            <v>8.8791032826260992</v>
          </cell>
          <cell r="AD54">
            <v>0.8406725380304243</v>
          </cell>
          <cell r="AE54">
            <v>1.6253002401921537</v>
          </cell>
          <cell r="AF54">
            <v>4.9087269815852688</v>
          </cell>
        </row>
        <row r="55">
          <cell r="W55" t="str">
            <v>Grand Total</v>
          </cell>
          <cell r="X55">
            <v>75093</v>
          </cell>
          <cell r="Y55">
            <v>62413.443279377636</v>
          </cell>
          <cell r="Z55">
            <v>82600.669135863558</v>
          </cell>
          <cell r="AA55">
            <v>54909.392331578514</v>
          </cell>
          <cell r="AB55">
            <v>42314.124898190625</v>
          </cell>
          <cell r="AC55">
            <v>9.9944057600508707</v>
          </cell>
          <cell r="AD55">
            <v>1.2107686468778716</v>
          </cell>
          <cell r="AE55">
            <v>2.4156731005672958</v>
          </cell>
          <cell r="AF55">
            <v>5.2620474611481773</v>
          </cell>
        </row>
      </sheetData>
      <sheetData sheetId="5">
        <row r="1">
          <cell r="Y1" t="str">
            <v>Average Salary</v>
          </cell>
          <cell r="AC1" t="str">
            <v>Per 100</v>
          </cell>
        </row>
        <row r="2">
          <cell r="W2" t="str">
            <v>Row Labels</v>
          </cell>
          <cell r="X2" t="str">
            <v>Enrollment</v>
          </cell>
          <cell r="Y2" t="str">
            <v>Teacher</v>
          </cell>
          <cell r="Z2" t="str">
            <v>Leaders</v>
          </cell>
          <cell r="AA2" t="str">
            <v>Student Services</v>
          </cell>
          <cell r="AB2" t="str">
            <v>Support Services</v>
          </cell>
          <cell r="AC2" t="str">
            <v>Teacher</v>
          </cell>
          <cell r="AD2" t="str">
            <v>Leaders</v>
          </cell>
          <cell r="AE2" t="str">
            <v>Student Services</v>
          </cell>
          <cell r="AF2" t="str">
            <v>Support Services</v>
          </cell>
        </row>
        <row r="3">
          <cell r="W3" t="str">
            <v>SU001</v>
          </cell>
          <cell r="X3">
            <v>1300</v>
          </cell>
          <cell r="Y3">
            <v>65761.734866418672</v>
          </cell>
          <cell r="Z3">
            <v>90220.742150333012</v>
          </cell>
          <cell r="AA3">
            <v>64207.131474103589</v>
          </cell>
          <cell r="AB3">
            <v>40901.179538117693</v>
          </cell>
          <cell r="AC3">
            <v>9.0984615384615388</v>
          </cell>
          <cell r="AD3">
            <v>1.6169230769230769</v>
          </cell>
          <cell r="AE3">
            <v>1.9307692307692308</v>
          </cell>
          <cell r="AF3">
            <v>6.1953846153846168</v>
          </cell>
        </row>
        <row r="4">
          <cell r="W4" t="str">
            <v>SU002</v>
          </cell>
          <cell r="X4">
            <v>837</v>
          </cell>
          <cell r="Y4">
            <v>63281.783517835182</v>
          </cell>
          <cell r="Z4">
            <v>90799.25</v>
          </cell>
          <cell r="AA4">
            <v>68544.860335195524</v>
          </cell>
          <cell r="AB4">
            <v>59498.611639406612</v>
          </cell>
          <cell r="AC4">
            <v>9.7132616487455188</v>
          </cell>
          <cell r="AD4">
            <v>0.95579450418160095</v>
          </cell>
          <cell r="AE4">
            <v>2.1385902031063324</v>
          </cell>
          <cell r="AF4">
            <v>6.281959378733573</v>
          </cell>
        </row>
        <row r="5">
          <cell r="W5" t="str">
            <v>SU003</v>
          </cell>
          <cell r="X5">
            <v>1606</v>
          </cell>
          <cell r="Y5">
            <v>65307.672107261598</v>
          </cell>
          <cell r="Z5">
            <v>88647.68644067795</v>
          </cell>
          <cell r="AA5">
            <v>61756.583307856949</v>
          </cell>
          <cell r="AB5">
            <v>41975.086272165776</v>
          </cell>
          <cell r="AC5">
            <v>10.298256537982569</v>
          </cell>
          <cell r="AD5">
            <v>1.4694894146948942</v>
          </cell>
          <cell r="AE5">
            <v>2.0367372353673718</v>
          </cell>
          <cell r="AF5">
            <v>6.250311332503113</v>
          </cell>
        </row>
        <row r="6">
          <cell r="W6" t="str">
            <v>SU004</v>
          </cell>
          <cell r="X6">
            <v>1160</v>
          </cell>
          <cell r="Y6">
            <v>54601.451796001355</v>
          </cell>
          <cell r="Z6">
            <v>87584.36</v>
          </cell>
          <cell r="AA6">
            <v>54959.971183800626</v>
          </cell>
          <cell r="AB6">
            <v>48749.601545650621</v>
          </cell>
          <cell r="AC6">
            <v>10.175862068965518</v>
          </cell>
          <cell r="AD6">
            <v>1.5086206896551724</v>
          </cell>
          <cell r="AE6">
            <v>2.2137931034482761</v>
          </cell>
          <cell r="AF6">
            <v>4.7965517241379301</v>
          </cell>
        </row>
        <row r="7">
          <cell r="W7" t="str">
            <v>SU005</v>
          </cell>
          <cell r="X7">
            <v>3056</v>
          </cell>
          <cell r="Y7">
            <v>60013.641367717028</v>
          </cell>
          <cell r="Z7">
            <v>98285.608889074065</v>
          </cell>
          <cell r="AA7">
            <v>57167.049189189194</v>
          </cell>
          <cell r="AB7">
            <v>44929.86795824967</v>
          </cell>
          <cell r="AC7">
            <v>9.1488874345549718</v>
          </cell>
          <cell r="AD7">
            <v>0.88350785340314142</v>
          </cell>
          <cell r="AE7">
            <v>2.4214659685863875</v>
          </cell>
          <cell r="AF7">
            <v>5.5412303664921465</v>
          </cell>
        </row>
        <row r="8">
          <cell r="W8" t="str">
            <v>SU006</v>
          </cell>
          <cell r="X8">
            <v>1021</v>
          </cell>
          <cell r="Y8">
            <v>64942.211865925783</v>
          </cell>
          <cell r="Z8">
            <v>86203.277777777781</v>
          </cell>
          <cell r="AA8">
            <v>50302.191077773394</v>
          </cell>
          <cell r="AB8">
            <v>47535.183197915074</v>
          </cell>
          <cell r="AC8">
            <v>10.928501469147896</v>
          </cell>
          <cell r="AD8">
            <v>1.762977473065622</v>
          </cell>
          <cell r="AE8">
            <v>4.9618021547502442</v>
          </cell>
          <cell r="AF8">
            <v>6.3888344760039173</v>
          </cell>
        </row>
        <row r="9">
          <cell r="W9" t="str">
            <v>SU007</v>
          </cell>
          <cell r="X9">
            <v>2178</v>
          </cell>
          <cell r="Y9">
            <v>77515.313227746781</v>
          </cell>
          <cell r="Z9">
            <v>112187.99705882353</v>
          </cell>
          <cell r="AA9">
            <v>64627.74892334194</v>
          </cell>
          <cell r="AB9">
            <v>36165.475339185949</v>
          </cell>
          <cell r="AC9">
            <v>8.3200183654729134</v>
          </cell>
          <cell r="AD9">
            <v>0.78053259871441683</v>
          </cell>
          <cell r="AE9">
            <v>2.1322314049586777</v>
          </cell>
          <cell r="AF9">
            <v>5.7529843893480255</v>
          </cell>
        </row>
        <row r="10">
          <cell r="W10" t="str">
            <v>SU009</v>
          </cell>
          <cell r="X10">
            <v>1172</v>
          </cell>
          <cell r="Y10">
            <v>60336.184921149288</v>
          </cell>
          <cell r="Z10">
            <v>86969.625</v>
          </cell>
          <cell r="AA10">
            <v>55052.396166134182</v>
          </cell>
          <cell r="AB10">
            <v>45154.928820843415</v>
          </cell>
          <cell r="AC10">
            <v>11.848976109215014</v>
          </cell>
          <cell r="AD10">
            <v>1.3651877133105803</v>
          </cell>
          <cell r="AE10">
            <v>3.204778156996587</v>
          </cell>
          <cell r="AF10">
            <v>6.3532423208191107</v>
          </cell>
        </row>
        <row r="11">
          <cell r="W11" t="str">
            <v>SU010</v>
          </cell>
          <cell r="X11">
            <v>1381</v>
          </cell>
          <cell r="Y11">
            <v>62723.624397336796</v>
          </cell>
          <cell r="Z11">
            <v>96614.777777777781</v>
          </cell>
          <cell r="AA11">
            <v>64485.382352941175</v>
          </cell>
          <cell r="AB11">
            <v>37992.80927835052</v>
          </cell>
          <cell r="AC11">
            <v>9.4619840695148447</v>
          </cell>
          <cell r="AD11">
            <v>1.3034033309196236</v>
          </cell>
          <cell r="AE11">
            <v>2.4619840695148443</v>
          </cell>
          <cell r="AF11">
            <v>5.6191165821868205</v>
          </cell>
        </row>
        <row r="12">
          <cell r="W12" t="str">
            <v>SU011</v>
          </cell>
          <cell r="X12">
            <v>587</v>
          </cell>
          <cell r="Y12">
            <v>35876.272580645164</v>
          </cell>
          <cell r="Z12">
            <v>54953.181818181816</v>
          </cell>
          <cell r="AA12">
            <v>43748.698850574714</v>
          </cell>
          <cell r="AB12">
            <v>36608.546496815281</v>
          </cell>
          <cell r="AC12">
            <v>16.899488926746166</v>
          </cell>
          <cell r="AD12">
            <v>1.8739352640545146</v>
          </cell>
          <cell r="AE12">
            <v>2.9642248722316862</v>
          </cell>
          <cell r="AF12">
            <v>5.3492333901192506</v>
          </cell>
        </row>
        <row r="13">
          <cell r="W13" t="str">
            <v>SU012</v>
          </cell>
          <cell r="X13">
            <v>2330</v>
          </cell>
          <cell r="Y13">
            <v>67878.446945922595</v>
          </cell>
          <cell r="Z13">
            <v>57999.048131539617</v>
          </cell>
          <cell r="AA13">
            <v>55454.372803545964</v>
          </cell>
          <cell r="AB13">
            <v>31241.606855081165</v>
          </cell>
          <cell r="AC13">
            <v>9.4364806866952762</v>
          </cell>
          <cell r="AD13">
            <v>1.4356223175965668</v>
          </cell>
          <cell r="AE13">
            <v>2.7111587982832623</v>
          </cell>
          <cell r="AF13">
            <v>7.1373390557939915</v>
          </cell>
        </row>
        <row r="14">
          <cell r="W14" t="str">
            <v>SU014</v>
          </cell>
          <cell r="X14">
            <v>3937</v>
          </cell>
          <cell r="Y14">
            <v>77472.486875399351</v>
          </cell>
          <cell r="Z14">
            <v>63964.993904916701</v>
          </cell>
          <cell r="AA14">
            <v>55778.70777127851</v>
          </cell>
          <cell r="AB14">
            <v>43839.525825794241</v>
          </cell>
          <cell r="AC14">
            <v>9.9377698755397503</v>
          </cell>
          <cell r="AD14">
            <v>1.2501905003810008</v>
          </cell>
          <cell r="AE14">
            <v>2.127762255524511</v>
          </cell>
          <cell r="AF14">
            <v>4.8290576581153166</v>
          </cell>
        </row>
        <row r="15">
          <cell r="W15" t="str">
            <v>SU015</v>
          </cell>
          <cell r="X15">
            <v>3080</v>
          </cell>
          <cell r="Y15">
            <v>77150.068500293273</v>
          </cell>
          <cell r="Z15">
            <v>103842.98999999998</v>
          </cell>
          <cell r="AA15">
            <v>60976.148468271327</v>
          </cell>
          <cell r="AB15">
            <v>41816.170505758244</v>
          </cell>
          <cell r="AC15">
            <v>9.9629870129870142</v>
          </cell>
          <cell r="AD15">
            <v>1.0064935064935066</v>
          </cell>
          <cell r="AE15">
            <v>2.9675324675324672</v>
          </cell>
          <cell r="AF15">
            <v>6.3714285714285719</v>
          </cell>
        </row>
        <row r="16">
          <cell r="W16" t="str">
            <v>SU016</v>
          </cell>
          <cell r="X16">
            <v>2458</v>
          </cell>
          <cell r="Y16">
            <v>81279.397660556642</v>
          </cell>
          <cell r="Z16">
            <v>124497.89473684212</v>
          </cell>
          <cell r="AA16">
            <v>50077.965164500965</v>
          </cell>
          <cell r="AB16">
            <v>40054.471334282389</v>
          </cell>
          <cell r="AC16">
            <v>9.0777054515866542</v>
          </cell>
          <cell r="AD16">
            <v>0.54109031733116353</v>
          </cell>
          <cell r="AE16">
            <v>2.9430431244914566</v>
          </cell>
          <cell r="AF16">
            <v>6.287225386493084</v>
          </cell>
        </row>
        <row r="17">
          <cell r="W17" t="str">
            <v>SU017</v>
          </cell>
          <cell r="X17">
            <v>750</v>
          </cell>
          <cell r="Y17">
            <v>63471.265075067677</v>
          </cell>
          <cell r="Z17">
            <v>92389.847715736047</v>
          </cell>
          <cell r="AA17">
            <v>62465.857142857145</v>
          </cell>
          <cell r="AB17">
            <v>50835.866388308968</v>
          </cell>
          <cell r="AC17">
            <v>10.834666666666667</v>
          </cell>
          <cell r="AD17">
            <v>1.3133333333333335</v>
          </cell>
          <cell r="AE17">
            <v>1.8666666666666669</v>
          </cell>
          <cell r="AF17">
            <v>6.3866666666666667</v>
          </cell>
        </row>
        <row r="18">
          <cell r="W18" t="str">
            <v>SU019</v>
          </cell>
          <cell r="X18">
            <v>167</v>
          </cell>
          <cell r="Y18">
            <v>53421.466666666667</v>
          </cell>
          <cell r="Z18">
            <v>58755.625</v>
          </cell>
          <cell r="AA18">
            <v>52420.454545454544</v>
          </cell>
          <cell r="AB18">
            <v>42288.991596638654</v>
          </cell>
          <cell r="AC18">
            <v>13.473053892215569</v>
          </cell>
          <cell r="AD18">
            <v>4.7904191616766472</v>
          </cell>
          <cell r="AE18">
            <v>3.1616766467065869</v>
          </cell>
          <cell r="AF18">
            <v>7.1257485029940115</v>
          </cell>
        </row>
        <row r="19">
          <cell r="W19" t="str">
            <v>SU020</v>
          </cell>
          <cell r="X19">
            <v>1735</v>
          </cell>
          <cell r="Y19">
            <v>52874.120426487076</v>
          </cell>
          <cell r="Z19">
            <v>84855.443037974677</v>
          </cell>
          <cell r="AA19">
            <v>56567.553338653895</v>
          </cell>
          <cell r="AB19">
            <v>35058.90040915009</v>
          </cell>
          <cell r="AC19">
            <v>10.270893371757927</v>
          </cell>
          <cell r="AD19">
            <v>1.138328530259366</v>
          </cell>
          <cell r="AE19">
            <v>2.1665706051873199</v>
          </cell>
          <cell r="AF19">
            <v>6.198270893371757</v>
          </cell>
        </row>
        <row r="20">
          <cell r="W20" t="str">
            <v>SU021</v>
          </cell>
          <cell r="X20">
            <v>1673</v>
          </cell>
          <cell r="Y20">
            <v>56153.054318788949</v>
          </cell>
          <cell r="Z20">
            <v>95371.066666666666</v>
          </cell>
          <cell r="AA20">
            <v>57087.336561743345</v>
          </cell>
          <cell r="AB20">
            <v>43976.133115557364</v>
          </cell>
          <cell r="AC20">
            <v>10.068738792588167</v>
          </cell>
          <cell r="AD20">
            <v>0.89659294680215185</v>
          </cell>
          <cell r="AE20">
            <v>2.4686192468619246</v>
          </cell>
          <cell r="AF20">
            <v>5.855349671249253</v>
          </cell>
        </row>
        <row r="21">
          <cell r="W21" t="str">
            <v>SU022</v>
          </cell>
          <cell r="X21">
            <v>1587</v>
          </cell>
          <cell r="Y21">
            <v>89759.257950530038</v>
          </cell>
          <cell r="Z21">
            <v>99099.153846153844</v>
          </cell>
          <cell r="AA21">
            <v>52131.895652173916</v>
          </cell>
          <cell r="AB21">
            <v>43565.037674919273</v>
          </cell>
          <cell r="AC21">
            <v>8.9161940768746071</v>
          </cell>
          <cell r="AD21">
            <v>0.81915563957151849</v>
          </cell>
          <cell r="AE21">
            <v>1.8115942028985508</v>
          </cell>
          <cell r="AF21">
            <v>2.9269061121613102</v>
          </cell>
        </row>
        <row r="22">
          <cell r="W22" t="str">
            <v>SU023</v>
          </cell>
          <cell r="X22">
            <v>2574</v>
          </cell>
          <cell r="Y22">
            <v>66359.014663985261</v>
          </cell>
          <cell r="Z22">
            <v>58455.188828943188</v>
          </cell>
          <cell r="AA22">
            <v>62930.694870438914</v>
          </cell>
          <cell r="AB22">
            <v>53179.156088727912</v>
          </cell>
          <cell r="AC22">
            <v>9.2727272727272716</v>
          </cell>
          <cell r="AD22">
            <v>1.2241647241647242</v>
          </cell>
          <cell r="AE22">
            <v>1.4693084693084693</v>
          </cell>
          <cell r="AF22">
            <v>4.2909867909867909</v>
          </cell>
        </row>
        <row r="23">
          <cell r="W23" t="str">
            <v>SU024</v>
          </cell>
          <cell r="X23">
            <v>539</v>
          </cell>
          <cell r="Y23">
            <v>56319.690721649487</v>
          </cell>
          <cell r="Z23">
            <v>102724.42857142857</v>
          </cell>
          <cell r="AA23">
            <v>54941.324200913245</v>
          </cell>
          <cell r="AB23">
            <v>45036.035502958577</v>
          </cell>
          <cell r="AC23">
            <v>10.797773654916512</v>
          </cell>
          <cell r="AD23">
            <v>1.2987012987012987</v>
          </cell>
          <cell r="AE23">
            <v>3.2504638218923931</v>
          </cell>
          <cell r="AF23">
            <v>9.4063079777365495</v>
          </cell>
        </row>
        <row r="24">
          <cell r="W24" t="str">
            <v>SU025</v>
          </cell>
          <cell r="X24">
            <v>1590</v>
          </cell>
          <cell r="Y24">
            <v>55597.79510022272</v>
          </cell>
          <cell r="Z24">
            <v>79319.010074463411</v>
          </cell>
          <cell r="AA24">
            <v>50862.499999999993</v>
          </cell>
          <cell r="AB24">
            <v>36579.212173272797</v>
          </cell>
          <cell r="AC24">
            <v>11.295597484276728</v>
          </cell>
          <cell r="AD24">
            <v>1.4358490566037738</v>
          </cell>
          <cell r="AE24">
            <v>2.9937106918239</v>
          </cell>
          <cell r="AF24">
            <v>5.1251572327044022</v>
          </cell>
        </row>
        <row r="25">
          <cell r="W25" t="str">
            <v>SU026</v>
          </cell>
          <cell r="X25">
            <v>1599</v>
          </cell>
          <cell r="Y25">
            <v>71553.326987972658</v>
          </cell>
          <cell r="Z25">
            <v>92115.763239875392</v>
          </cell>
          <cell r="AA25">
            <v>69154.788135593219</v>
          </cell>
          <cell r="AB25">
            <v>53703.257443082308</v>
          </cell>
          <cell r="AC25">
            <v>7.2276422764227632</v>
          </cell>
          <cell r="AD25">
            <v>1.00375234521576</v>
          </cell>
          <cell r="AE25">
            <v>1.4759224515322078</v>
          </cell>
          <cell r="AF25">
            <v>5.3564727954971856</v>
          </cell>
        </row>
        <row r="26">
          <cell r="W26" t="str">
            <v>SU027</v>
          </cell>
          <cell r="X26">
            <v>1461</v>
          </cell>
          <cell r="Y26">
            <v>60743.536253871927</v>
          </cell>
          <cell r="Z26">
            <v>95282</v>
          </cell>
          <cell r="AA26">
            <v>66885.410821643294</v>
          </cell>
          <cell r="AB26">
            <v>47305.056249227338</v>
          </cell>
          <cell r="AC26">
            <v>10.827515400410677</v>
          </cell>
          <cell r="AD26">
            <v>1.1635865845311431</v>
          </cell>
          <cell r="AE26">
            <v>1.7077344284736482</v>
          </cell>
          <cell r="AF26">
            <v>5.5366187542778933</v>
          </cell>
        </row>
        <row r="27">
          <cell r="W27" t="str">
            <v>SU028</v>
          </cell>
          <cell r="X27">
            <v>829</v>
          </cell>
          <cell r="Y27">
            <v>62338.14657783162</v>
          </cell>
          <cell r="Z27">
            <v>93882.530612244896</v>
          </cell>
          <cell r="AA27">
            <v>54114.867549668881</v>
          </cell>
          <cell r="AB27">
            <v>46329.126034958601</v>
          </cell>
          <cell r="AC27">
            <v>9.9577804583835938</v>
          </cell>
          <cell r="AD27">
            <v>1.4776839565741857</v>
          </cell>
          <cell r="AE27">
            <v>3.6429433051869715</v>
          </cell>
          <cell r="AF27">
            <v>6.556091676718939</v>
          </cell>
        </row>
        <row r="28">
          <cell r="W28" t="str">
            <v>SU030</v>
          </cell>
          <cell r="X28">
            <v>1157</v>
          </cell>
          <cell r="Y28">
            <v>56369.749063060124</v>
          </cell>
          <cell r="Z28">
            <v>92026.351351351346</v>
          </cell>
          <cell r="AA28">
            <v>56050.098360655735</v>
          </cell>
          <cell r="AB28">
            <v>41323.287885911297</v>
          </cell>
          <cell r="AC28">
            <v>10.60847018150389</v>
          </cell>
          <cell r="AD28">
            <v>1.2791702679343129</v>
          </cell>
          <cell r="AE28">
            <v>2.6361279170267937</v>
          </cell>
          <cell r="AF28">
            <v>5.5151253241140878</v>
          </cell>
        </row>
        <row r="29">
          <cell r="W29" t="str">
            <v>SU031</v>
          </cell>
          <cell r="X29">
            <v>2341</v>
          </cell>
          <cell r="Y29">
            <v>55491.622153500146</v>
          </cell>
          <cell r="Z29">
            <v>85434.4</v>
          </cell>
          <cell r="AA29">
            <v>35143.635321100919</v>
          </cell>
          <cell r="AB29">
            <v>40021.910075909938</v>
          </cell>
          <cell r="AC29">
            <v>10.636052968816744</v>
          </cell>
          <cell r="AD29">
            <v>1.1747116616830415</v>
          </cell>
          <cell r="AE29">
            <v>3.7249038872276796</v>
          </cell>
          <cell r="AF29">
            <v>6.5839384878257166</v>
          </cell>
        </row>
        <row r="30">
          <cell r="W30" t="str">
            <v>SU032</v>
          </cell>
          <cell r="X30">
            <v>1416</v>
          </cell>
          <cell r="Y30">
            <v>64436.314639475597</v>
          </cell>
          <cell r="Z30">
            <v>89929.620253164554</v>
          </cell>
          <cell r="AA30">
            <v>62507.283057851229</v>
          </cell>
          <cell r="AB30">
            <v>47514.647316908537</v>
          </cell>
          <cell r="AC30">
            <v>9.6963276836158201</v>
          </cell>
          <cell r="AD30">
            <v>1.115819209039548</v>
          </cell>
          <cell r="AE30">
            <v>2.7344632768361588</v>
          </cell>
          <cell r="AF30">
            <v>6.2775423728813564</v>
          </cell>
        </row>
        <row r="31">
          <cell r="W31" t="str">
            <v>SU033</v>
          </cell>
          <cell r="X31">
            <v>728</v>
          </cell>
          <cell r="Y31">
            <v>59546.813992731055</v>
          </cell>
          <cell r="Z31">
            <v>81869.23510204081</v>
          </cell>
          <cell r="AA31">
            <v>55265.619958419957</v>
          </cell>
          <cell r="AB31">
            <v>45299.17263922518</v>
          </cell>
          <cell r="AC31">
            <v>10.582417582417582</v>
          </cell>
          <cell r="AD31">
            <v>1.6826923076923077</v>
          </cell>
          <cell r="AE31">
            <v>3.3035714285714288</v>
          </cell>
          <cell r="AF31">
            <v>5.6730769230769225</v>
          </cell>
        </row>
        <row r="32">
          <cell r="W32" t="str">
            <v>SU034</v>
          </cell>
          <cell r="X32">
            <v>1075</v>
          </cell>
          <cell r="Y32">
            <v>54280.584085022776</v>
          </cell>
          <cell r="Z32">
            <v>82947.538461538468</v>
          </cell>
          <cell r="AA32">
            <v>47803.45890410959</v>
          </cell>
          <cell r="AB32">
            <v>40829.0939193257</v>
          </cell>
          <cell r="AC32">
            <v>10.415813953488371</v>
          </cell>
          <cell r="AD32">
            <v>1.2093023255813953</v>
          </cell>
          <cell r="AE32">
            <v>2.7162790697674417</v>
          </cell>
          <cell r="AF32">
            <v>6.1804651162790707</v>
          </cell>
        </row>
        <row r="33">
          <cell r="W33" t="str">
            <v>SU035</v>
          </cell>
          <cell r="X33">
            <v>940</v>
          </cell>
          <cell r="Y33">
            <v>58783.749086734155</v>
          </cell>
          <cell r="Z33">
            <v>80121.604938271586</v>
          </cell>
          <cell r="AA33">
            <v>56342.421875000007</v>
          </cell>
          <cell r="AB33">
            <v>45675.352432924054</v>
          </cell>
          <cell r="AC33">
            <v>10.192553191489363</v>
          </cell>
          <cell r="AD33">
            <v>1.7234042553191493</v>
          </cell>
          <cell r="AE33">
            <v>2.7234042553191484</v>
          </cell>
          <cell r="AF33">
            <v>7.018085106382979</v>
          </cell>
        </row>
        <row r="34">
          <cell r="W34" t="str">
            <v>SU036</v>
          </cell>
          <cell r="X34">
            <v>1323</v>
          </cell>
          <cell r="Y34">
            <v>64084.833057732416</v>
          </cell>
          <cell r="Z34">
            <v>93215.112142857164</v>
          </cell>
          <cell r="AA34">
            <v>51299.205680053252</v>
          </cell>
          <cell r="AB34">
            <v>44859.670623671162</v>
          </cell>
          <cell r="AC34">
            <v>10.513227513227513</v>
          </cell>
          <cell r="AD34">
            <v>1.0582010582010581</v>
          </cell>
          <cell r="AE34">
            <v>3.406651549508692</v>
          </cell>
          <cell r="AF34">
            <v>4.2660619803476942</v>
          </cell>
        </row>
        <row r="35">
          <cell r="W35" t="str">
            <v>SU040</v>
          </cell>
          <cell r="X35">
            <v>2055</v>
          </cell>
          <cell r="Y35">
            <v>65680.841021240078</v>
          </cell>
          <cell r="Z35">
            <v>112073.1</v>
          </cell>
          <cell r="AA35">
            <v>56056.528253424658</v>
          </cell>
          <cell r="AB35">
            <v>55623.769322235428</v>
          </cell>
          <cell r="AC35">
            <v>6.8043795620437955</v>
          </cell>
          <cell r="AD35">
            <v>0.97323600973236013</v>
          </cell>
          <cell r="AE35">
            <v>2.2734793187347933</v>
          </cell>
          <cell r="AF35">
            <v>4.0924574209245748</v>
          </cell>
        </row>
        <row r="36">
          <cell r="W36" t="str">
            <v>SU042</v>
          </cell>
          <cell r="X36">
            <v>1611</v>
          </cell>
          <cell r="Y36">
            <v>68044.084175935277</v>
          </cell>
          <cell r="Z36">
            <v>56776.185714285712</v>
          </cell>
          <cell r="AA36">
            <v>58899.85381062355</v>
          </cell>
          <cell r="AB36">
            <v>48826.814072776629</v>
          </cell>
          <cell r="AC36">
            <v>9.8224705152079448</v>
          </cell>
          <cell r="AD36">
            <v>2.1725636250775917</v>
          </cell>
          <cell r="AE36">
            <v>2.6877715704531351</v>
          </cell>
          <cell r="AF36">
            <v>4.8019863438857842</v>
          </cell>
        </row>
        <row r="37">
          <cell r="W37" t="str">
            <v>SU046</v>
          </cell>
          <cell r="X37">
            <v>663</v>
          </cell>
          <cell r="Y37">
            <v>64897.401982037787</v>
          </cell>
          <cell r="Z37">
            <v>90587.721538461527</v>
          </cell>
          <cell r="AA37">
            <v>51993.91419533411</v>
          </cell>
          <cell r="AB37">
            <v>43867.527822257805</v>
          </cell>
          <cell r="AC37">
            <v>14.610859728506787</v>
          </cell>
          <cell r="AD37">
            <v>1.9607843137254901</v>
          </cell>
          <cell r="AE37">
            <v>3.8144796380090504</v>
          </cell>
          <cell r="AF37">
            <v>7.535444947209653</v>
          </cell>
        </row>
        <row r="38">
          <cell r="W38" t="str">
            <v>SU047</v>
          </cell>
          <cell r="X38">
            <v>981</v>
          </cell>
          <cell r="Y38">
            <v>48577.924574824545</v>
          </cell>
          <cell r="Z38">
            <v>47499.887169811322</v>
          </cell>
          <cell r="AA38">
            <v>40470.901999999995</v>
          </cell>
          <cell r="AB38">
            <v>40694.2808716707</v>
          </cell>
          <cell r="AC38">
            <v>16.123343527013255</v>
          </cell>
          <cell r="AD38">
            <v>2.7013251783893986</v>
          </cell>
          <cell r="AE38">
            <v>5.6065239551478081</v>
          </cell>
          <cell r="AF38">
            <v>7.9989806320081573</v>
          </cell>
        </row>
        <row r="39">
          <cell r="W39" t="str">
            <v>SU048</v>
          </cell>
          <cell r="X39">
            <v>2346</v>
          </cell>
          <cell r="Y39">
            <v>65486.364990689013</v>
          </cell>
          <cell r="Z39">
            <v>93146.476510067121</v>
          </cell>
          <cell r="AA39">
            <v>62584.329307056578</v>
          </cell>
          <cell r="AB39">
            <v>51172.960151802647</v>
          </cell>
          <cell r="AC39">
            <v>11.445012787723785</v>
          </cell>
          <cell r="AD39">
            <v>1.0161977834612106</v>
          </cell>
          <cell r="AE39">
            <v>2.6820119352088665</v>
          </cell>
          <cell r="AF39">
            <v>4.4927536231884062</v>
          </cell>
        </row>
        <row r="40">
          <cell r="W40" t="str">
            <v>SU049</v>
          </cell>
          <cell r="X40">
            <v>528</v>
          </cell>
          <cell r="Y40">
            <v>58423.570324574961</v>
          </cell>
          <cell r="Z40">
            <v>92093.859649122809</v>
          </cell>
          <cell r="AA40">
            <v>54671.549295774661</v>
          </cell>
          <cell r="AB40">
            <v>37587.524151255871</v>
          </cell>
          <cell r="AC40">
            <v>12.253787878787879</v>
          </cell>
          <cell r="AD40">
            <v>1.9431818181818181</v>
          </cell>
          <cell r="AE40">
            <v>4.0340909090909083</v>
          </cell>
          <cell r="AF40">
            <v>6.861742424242423</v>
          </cell>
        </row>
        <row r="41">
          <cell r="W41" t="str">
            <v>SU051</v>
          </cell>
          <cell r="X41">
            <v>1044</v>
          </cell>
          <cell r="Y41">
            <v>66922.179031541527</v>
          </cell>
          <cell r="Z41">
            <v>92696.428571428565</v>
          </cell>
          <cell r="AA41">
            <v>67542.81045751636</v>
          </cell>
          <cell r="AB41">
            <v>44435.69975965983</v>
          </cell>
          <cell r="AC41">
            <v>8.6245210727969361</v>
          </cell>
          <cell r="AD41">
            <v>1.3409961685823755</v>
          </cell>
          <cell r="AE41">
            <v>1.7586206896551722</v>
          </cell>
          <cell r="AF41">
            <v>5.1810344827586201</v>
          </cell>
        </row>
        <row r="42">
          <cell r="W42" t="str">
            <v>SU052</v>
          </cell>
          <cell r="X42">
            <v>1081</v>
          </cell>
          <cell r="Y42">
            <v>64377.774814341617</v>
          </cell>
          <cell r="Z42">
            <v>94087.735000000001</v>
          </cell>
          <cell r="AA42">
            <v>58173.37674418604</v>
          </cell>
          <cell r="AB42">
            <v>42447.305413277099</v>
          </cell>
          <cell r="AC42">
            <v>11.584643848288621</v>
          </cell>
          <cell r="AD42">
            <v>1.2950971322849214</v>
          </cell>
          <cell r="AE42">
            <v>1.9888991674375578</v>
          </cell>
          <cell r="AF42">
            <v>9.2109158186864004</v>
          </cell>
        </row>
        <row r="43">
          <cell r="W43" t="str">
            <v>SU054</v>
          </cell>
          <cell r="X43">
            <v>1342</v>
          </cell>
          <cell r="Y43">
            <v>60063.246471226928</v>
          </cell>
          <cell r="Z43">
            <v>101220.5</v>
          </cell>
          <cell r="AA43">
            <v>60201.319261213721</v>
          </cell>
          <cell r="AB43">
            <v>53358.717948717946</v>
          </cell>
          <cell r="AC43">
            <v>12.353204172876305</v>
          </cell>
          <cell r="AD43">
            <v>1.1922503725782414</v>
          </cell>
          <cell r="AE43">
            <v>2.8241430700447094</v>
          </cell>
          <cell r="AF43">
            <v>4.0685543964232487</v>
          </cell>
        </row>
        <row r="44">
          <cell r="W44" t="str">
            <v>SU055</v>
          </cell>
          <cell r="X44">
            <v>289</v>
          </cell>
          <cell r="Y44">
            <v>77103.401360544216</v>
          </cell>
          <cell r="Z44">
            <v>111251</v>
          </cell>
          <cell r="AA44">
            <v>80635</v>
          </cell>
          <cell r="AB44">
            <v>52313.846153846156</v>
          </cell>
          <cell r="AC44">
            <v>10.173010380622836</v>
          </cell>
          <cell r="AD44">
            <v>0.34602076124567477</v>
          </cell>
          <cell r="AE44">
            <v>1.7301038062283738</v>
          </cell>
          <cell r="AF44">
            <v>2.2491349480968861</v>
          </cell>
        </row>
        <row r="45">
          <cell r="W45" t="str">
            <v>SU056</v>
          </cell>
          <cell r="X45">
            <v>1086</v>
          </cell>
          <cell r="Y45">
            <v>61277.492789647382</v>
          </cell>
          <cell r="Z45">
            <v>97271</v>
          </cell>
          <cell r="AA45">
            <v>53295.746170678336</v>
          </cell>
          <cell r="AB45">
            <v>41397.908462435451</v>
          </cell>
          <cell r="AC45">
            <v>10.602209944751381</v>
          </cell>
          <cell r="AD45">
            <v>1.1049723756906076</v>
          </cell>
          <cell r="AE45">
            <v>3.3664825046040523</v>
          </cell>
          <cell r="AF45">
            <v>5.5276243093922641</v>
          </cell>
        </row>
        <row r="46">
          <cell r="W46" t="str">
            <v>SU061</v>
          </cell>
          <cell r="X46">
            <v>1996</v>
          </cell>
          <cell r="Y46">
            <v>58782.973596513708</v>
          </cell>
          <cell r="Z46">
            <v>60842.65517241379</v>
          </cell>
          <cell r="AA46">
            <v>61379.668246445493</v>
          </cell>
          <cell r="AB46">
            <v>45541.721428571429</v>
          </cell>
          <cell r="AC46">
            <v>9.7720440881763526</v>
          </cell>
          <cell r="AD46">
            <v>1.4529058116232465</v>
          </cell>
          <cell r="AE46">
            <v>2.1142284569138279</v>
          </cell>
          <cell r="AF46">
            <v>7.0140280561122248</v>
          </cell>
        </row>
        <row r="47">
          <cell r="W47" t="str">
            <v>SU063</v>
          </cell>
          <cell r="X47">
            <v>861</v>
          </cell>
          <cell r="Y47">
            <v>61087.917229905375</v>
          </cell>
          <cell r="Z47">
            <v>80097.9375</v>
          </cell>
          <cell r="AA47">
            <v>52059.957173447547</v>
          </cell>
          <cell r="AB47">
            <v>42994.190020505819</v>
          </cell>
          <cell r="AC47">
            <v>11.169570267131244</v>
          </cell>
          <cell r="AD47">
            <v>1.8583042973286876</v>
          </cell>
          <cell r="AE47">
            <v>3.2543554006968636</v>
          </cell>
          <cell r="AF47">
            <v>5.0975609756097553</v>
          </cell>
        </row>
        <row r="48">
          <cell r="W48" t="str">
            <v>SU064</v>
          </cell>
          <cell r="X48">
            <v>427</v>
          </cell>
          <cell r="Y48">
            <v>59384.638060458507</v>
          </cell>
          <cell r="Z48">
            <v>97837.054794520547</v>
          </cell>
          <cell r="AA48">
            <v>51448.230630630635</v>
          </cell>
          <cell r="AB48">
            <v>40016.510692899916</v>
          </cell>
          <cell r="AC48">
            <v>11.543325526932085</v>
          </cell>
          <cell r="AD48">
            <v>1.7096018735362997</v>
          </cell>
          <cell r="AE48">
            <v>2.5995316159250588</v>
          </cell>
          <cell r="AF48">
            <v>5.4754098360655741</v>
          </cell>
        </row>
        <row r="49">
          <cell r="W49" t="str">
            <v>SU065</v>
          </cell>
          <cell r="X49">
            <v>3474</v>
          </cell>
          <cell r="Y49">
            <v>78681.89043430984</v>
          </cell>
          <cell r="Z49">
            <v>115353.51166666666</v>
          </cell>
          <cell r="AA49">
            <v>63914.599974641838</v>
          </cell>
          <cell r="AB49">
            <v>51126.66687714235</v>
          </cell>
          <cell r="AC49">
            <v>8.7354634427173288</v>
          </cell>
          <cell r="AD49">
            <v>0.69084628670120896</v>
          </cell>
          <cell r="AE49">
            <v>2.2702936096718478</v>
          </cell>
          <cell r="AF49">
            <v>6.3822682786413338</v>
          </cell>
        </row>
        <row r="50">
          <cell r="W50" t="str">
            <v>SU066</v>
          </cell>
          <cell r="X50">
            <v>1536</v>
          </cell>
          <cell r="Y50">
            <v>49285.347918565792</v>
          </cell>
          <cell r="Z50">
            <v>87050.812182741123</v>
          </cell>
          <cell r="AA50">
            <v>56969.128719971312</v>
          </cell>
          <cell r="AB50">
            <v>46281.06964798308</v>
          </cell>
          <cell r="AC50">
            <v>10.712890624999998</v>
          </cell>
          <cell r="AD50">
            <v>1.2825520833333333</v>
          </cell>
          <cell r="AE50">
            <v>1.8157552083333335</v>
          </cell>
          <cell r="AF50">
            <v>4.3092447916666661</v>
          </cell>
        </row>
        <row r="51">
          <cell r="W51" t="str">
            <v>SU067</v>
          </cell>
          <cell r="X51">
            <v>1152</v>
          </cell>
          <cell r="Y51">
            <v>51607.004600983666</v>
          </cell>
          <cell r="Z51">
            <v>90366.191950464403</v>
          </cell>
          <cell r="AA51">
            <v>52369.897750511249</v>
          </cell>
          <cell r="AB51">
            <v>48117.210484086652</v>
          </cell>
          <cell r="AC51">
            <v>10.942708333333332</v>
          </cell>
          <cell r="AD51">
            <v>1.4019097222222221</v>
          </cell>
          <cell r="AE51">
            <v>2.1223958333333335</v>
          </cell>
          <cell r="AF51">
            <v>6.4913194444444446</v>
          </cell>
        </row>
        <row r="52">
          <cell r="W52" t="str">
            <v>SU068</v>
          </cell>
          <cell r="X52">
            <v>1193</v>
          </cell>
          <cell r="Y52">
            <v>59753.285849952525</v>
          </cell>
          <cell r="Z52">
            <v>84069.357142857145</v>
          </cell>
          <cell r="AA52">
            <v>59133.178571428572</v>
          </cell>
          <cell r="AB52">
            <v>47152.864197530864</v>
          </cell>
          <cell r="AC52">
            <v>8.8264878457669731</v>
          </cell>
          <cell r="AD52">
            <v>1.173512154233026</v>
          </cell>
          <cell r="AE52">
            <v>2.347024308466052</v>
          </cell>
          <cell r="AF52">
            <v>3.3948030176026824</v>
          </cell>
        </row>
        <row r="53">
          <cell r="W53" t="str">
            <v>SU069</v>
          </cell>
          <cell r="X53">
            <v>1151</v>
          </cell>
          <cell r="Y53">
            <v>62786.338288327897</v>
          </cell>
          <cell r="Z53">
            <v>92748.608695652176</v>
          </cell>
          <cell r="AA53">
            <v>63064.733990147783</v>
          </cell>
          <cell r="AB53">
            <v>41487.114894330763</v>
          </cell>
          <cell r="AC53">
            <v>9.8774978279756738</v>
          </cell>
          <cell r="AD53">
            <v>0.99913119026933095</v>
          </cell>
          <cell r="AE53">
            <v>1.7636837532580365</v>
          </cell>
          <cell r="AF53">
            <v>5.1798436142484787</v>
          </cell>
        </row>
        <row r="54">
          <cell r="W54" t="str">
            <v>Grand Total</v>
          </cell>
          <cell r="X54">
            <v>74403</v>
          </cell>
          <cell r="Y54">
            <v>64249.7924244721</v>
          </cell>
          <cell r="Z54">
            <v>84938.932682098937</v>
          </cell>
          <cell r="AA54">
            <v>56100.169636451872</v>
          </cell>
          <cell r="AB54">
            <v>44177.84753324488</v>
          </cell>
          <cell r="AC54">
            <v>10.064594169589936</v>
          </cell>
          <cell r="AD54">
            <v>1.2272757818905153</v>
          </cell>
          <cell r="AE54">
            <v>2.5479617757348492</v>
          </cell>
          <cell r="AF54">
            <v>5.6829966533607514</v>
          </cell>
        </row>
      </sheetData>
      <sheetData sheetId="6">
        <row r="1">
          <cell r="Y1" t="str">
            <v>Average Salary</v>
          </cell>
          <cell r="AC1" t="str">
            <v>Per 100</v>
          </cell>
        </row>
        <row r="2">
          <cell r="W2" t="str">
            <v>Row Labels</v>
          </cell>
          <cell r="X2" t="str">
            <v>Enrollment</v>
          </cell>
          <cell r="Y2" t="str">
            <v>Teacher</v>
          </cell>
          <cell r="Z2" t="str">
            <v>Leaders</v>
          </cell>
          <cell r="AA2" t="str">
            <v>Student Services</v>
          </cell>
          <cell r="AB2" t="str">
            <v>Support Services</v>
          </cell>
          <cell r="AC2" t="str">
            <v>Teacher</v>
          </cell>
          <cell r="AD2" t="str">
            <v>Leaders</v>
          </cell>
          <cell r="AE2" t="str">
            <v>Student Services</v>
          </cell>
          <cell r="AF2" t="str">
            <v>Support Services</v>
          </cell>
        </row>
        <row r="3">
          <cell r="W3" t="str">
            <v>SU001</v>
          </cell>
          <cell r="X3">
            <v>1243</v>
          </cell>
          <cell r="Y3">
            <v>66648.389140271494</v>
          </cell>
          <cell r="Z3">
            <v>94756.436170212779</v>
          </cell>
          <cell r="AA3">
            <v>67800.507246376816</v>
          </cell>
          <cell r="AB3">
            <v>46049.041788661154</v>
          </cell>
          <cell r="AC3">
            <v>8.8897827835880925</v>
          </cell>
          <cell r="AD3">
            <v>1.5124698310539018</v>
          </cell>
          <cell r="AE3">
            <v>2.2204344328238133</v>
          </cell>
          <cell r="AF3">
            <v>6.0450522928399044</v>
          </cell>
        </row>
        <row r="4">
          <cell r="W4" t="str">
            <v>SU002</v>
          </cell>
          <cell r="X4">
            <v>854</v>
          </cell>
          <cell r="Y4">
            <v>61717.607061911011</v>
          </cell>
          <cell r="Z4">
            <v>83162.909090909088</v>
          </cell>
          <cell r="AA4">
            <v>71763.502538071058</v>
          </cell>
          <cell r="AB4">
            <v>49535.009074410169</v>
          </cell>
          <cell r="AC4">
            <v>9.8161592505854802</v>
          </cell>
          <cell r="AD4">
            <v>1.2880562060889931</v>
          </cell>
          <cell r="AE4">
            <v>2.3067915690866516</v>
          </cell>
          <cell r="AF4">
            <v>6.451990632318501</v>
          </cell>
        </row>
        <row r="5">
          <cell r="W5" t="str">
            <v>SU003</v>
          </cell>
          <cell r="X5">
            <v>1610</v>
          </cell>
          <cell r="Y5">
            <v>65227.699486007972</v>
          </cell>
          <cell r="Z5">
            <v>96703.479338842983</v>
          </cell>
          <cell r="AA5">
            <v>60104.488282408784</v>
          </cell>
          <cell r="AB5">
            <v>41488.609410332247</v>
          </cell>
          <cell r="AC5">
            <v>10.875776397515532</v>
          </cell>
          <cell r="AD5">
            <v>1.5031055900621118</v>
          </cell>
          <cell r="AE5">
            <v>2.0937888198757766</v>
          </cell>
          <cell r="AF5">
            <v>7.1416149068322969</v>
          </cell>
        </row>
        <row r="6">
          <cell r="W6" t="str">
            <v>SU004</v>
          </cell>
          <cell r="X6">
            <v>1162</v>
          </cell>
          <cell r="Y6">
            <v>58633.320939504229</v>
          </cell>
          <cell r="Z6">
            <v>102462.7172413793</v>
          </cell>
          <cell r="AA6">
            <v>63022.5858974359</v>
          </cell>
          <cell r="AB6">
            <v>51016.871868805189</v>
          </cell>
          <cell r="AC6">
            <v>9.9294320137693646</v>
          </cell>
          <cell r="AD6">
            <v>1.2478485370051635</v>
          </cell>
          <cell r="AE6">
            <v>2.0137693631669538</v>
          </cell>
          <cell r="AF6">
            <v>4.7753872633390708</v>
          </cell>
        </row>
        <row r="7">
          <cell r="W7" t="str">
            <v>SU005</v>
          </cell>
          <cell r="X7">
            <v>2946</v>
          </cell>
          <cell r="Y7">
            <v>61972.029662388093</v>
          </cell>
          <cell r="Z7">
            <v>100333.51821428568</v>
          </cell>
          <cell r="AA7">
            <v>60432.832899602778</v>
          </cell>
          <cell r="AB7">
            <v>47281.337399125237</v>
          </cell>
          <cell r="AC7">
            <v>9.4409368635437882</v>
          </cell>
          <cell r="AD7">
            <v>0.95044127630685671</v>
          </cell>
          <cell r="AE7">
            <v>2.4782756279701288</v>
          </cell>
          <cell r="AF7">
            <v>5.5101832993890012</v>
          </cell>
        </row>
        <row r="8">
          <cell r="W8" t="str">
            <v>SU006</v>
          </cell>
          <cell r="X8">
            <v>1009</v>
          </cell>
          <cell r="Y8">
            <v>64050.755287009073</v>
          </cell>
          <cell r="Z8">
            <v>97396.694677871143</v>
          </cell>
          <cell r="AA8">
            <v>48802.125237191649</v>
          </cell>
          <cell r="AB8">
            <v>52224.665629860036</v>
          </cell>
          <cell r="AC8">
            <v>11.481665014866202</v>
          </cell>
          <cell r="AD8">
            <v>1.7690782953419228</v>
          </cell>
          <cell r="AE8">
            <v>5.2229930624380572</v>
          </cell>
          <cell r="AF8">
            <v>6.3726461843409314</v>
          </cell>
        </row>
        <row r="9">
          <cell r="W9" t="str">
            <v>SU007</v>
          </cell>
          <cell r="X9">
            <v>2166</v>
          </cell>
          <cell r="Y9">
            <v>78395.109041095886</v>
          </cell>
          <cell r="Z9">
            <v>115339.00166666666</v>
          </cell>
          <cell r="AA9">
            <v>66682.399999999994</v>
          </cell>
          <cell r="AB9">
            <v>39932.436443331237</v>
          </cell>
          <cell r="AC9">
            <v>8.4256694367497698</v>
          </cell>
          <cell r="AD9">
            <v>0.8310249307479225</v>
          </cell>
          <cell r="AE9">
            <v>2.1698984302862421</v>
          </cell>
          <cell r="AF9">
            <v>5.8984302862419211</v>
          </cell>
        </row>
        <row r="10">
          <cell r="W10" t="str">
            <v>SU009</v>
          </cell>
          <cell r="X10">
            <v>1146</v>
          </cell>
          <cell r="Y10">
            <v>58385.407247687261</v>
          </cell>
          <cell r="Z10">
            <v>76742.328244274817</v>
          </cell>
          <cell r="AA10">
            <v>55883.381364073008</v>
          </cell>
          <cell r="AB10">
            <v>46982.192788815315</v>
          </cell>
          <cell r="AC10">
            <v>12.54537521815009</v>
          </cell>
          <cell r="AD10">
            <v>2.2862129144851657</v>
          </cell>
          <cell r="AE10">
            <v>3.6335078534031418</v>
          </cell>
          <cell r="AF10">
            <v>7.115183246073296</v>
          </cell>
        </row>
        <row r="11">
          <cell r="W11" t="str">
            <v>SU010</v>
          </cell>
          <cell r="X11">
            <v>1320</v>
          </cell>
          <cell r="Y11">
            <v>66243.654489885012</v>
          </cell>
          <cell r="Z11">
            <v>101645.0303030303</v>
          </cell>
          <cell r="AA11">
            <v>69344.913573250218</v>
          </cell>
          <cell r="AB11">
            <v>42667.50663129973</v>
          </cell>
          <cell r="AC11">
            <v>10.410606060606062</v>
          </cell>
          <cell r="AD11">
            <v>1.25</v>
          </cell>
          <cell r="AE11">
            <v>2.6734848484848484</v>
          </cell>
          <cell r="AF11">
            <v>5.7121212121212128</v>
          </cell>
        </row>
        <row r="12">
          <cell r="W12" t="str">
            <v>SU011</v>
          </cell>
          <cell r="X12">
            <v>605</v>
          </cell>
          <cell r="Y12">
            <v>63954.056980056972</v>
          </cell>
          <cell r="Z12">
            <v>57992.666666666664</v>
          </cell>
          <cell r="AA12">
            <v>51169.24987146529</v>
          </cell>
          <cell r="AB12">
            <v>50596.820846905532</v>
          </cell>
          <cell r="AC12">
            <v>11.603305785123966</v>
          </cell>
          <cell r="AD12">
            <v>1.4876033057851239</v>
          </cell>
          <cell r="AE12">
            <v>3.2148760330578514</v>
          </cell>
          <cell r="AF12">
            <v>4.5669421487603303</v>
          </cell>
        </row>
        <row r="13">
          <cell r="W13" t="str">
            <v>SU012</v>
          </cell>
          <cell r="X13">
            <v>2320</v>
          </cell>
          <cell r="Y13">
            <v>69920.951137585085</v>
          </cell>
          <cell r="Z13">
            <v>65089.917488789237</v>
          </cell>
          <cell r="AA13">
            <v>58368.933492394863</v>
          </cell>
          <cell r="AB13">
            <v>31704.504596300812</v>
          </cell>
          <cell r="AC13">
            <v>9.6241379310344826</v>
          </cell>
          <cell r="AD13">
            <v>1.4418103448275863</v>
          </cell>
          <cell r="AE13">
            <v>2.8905172413793103</v>
          </cell>
          <cell r="AF13">
            <v>7.783620689655173</v>
          </cell>
        </row>
        <row r="14">
          <cell r="W14" t="str">
            <v>SU014</v>
          </cell>
          <cell r="X14">
            <v>3803</v>
          </cell>
          <cell r="Y14">
            <v>77786.760048505661</v>
          </cell>
          <cell r="Z14">
            <v>72484.513482280425</v>
          </cell>
          <cell r="AA14">
            <v>59155.030107526887</v>
          </cell>
          <cell r="AB14">
            <v>45931.071267025189</v>
          </cell>
          <cell r="AC14">
            <v>10.408361819616093</v>
          </cell>
          <cell r="AD14">
            <v>1.3652379700236656</v>
          </cell>
          <cell r="AE14">
            <v>2.2008940310281355</v>
          </cell>
          <cell r="AF14">
            <v>5.2319221667104916</v>
          </cell>
        </row>
        <row r="15">
          <cell r="W15" t="str">
            <v>SU015</v>
          </cell>
          <cell r="X15">
            <v>3088</v>
          </cell>
          <cell r="Y15">
            <v>76648.616428155146</v>
          </cell>
          <cell r="Z15">
            <v>109847.99655172412</v>
          </cell>
          <cell r="AA15">
            <v>66080.222169362532</v>
          </cell>
          <cell r="AB15">
            <v>43810.979675994116</v>
          </cell>
          <cell r="AC15">
            <v>10.001943005181348</v>
          </cell>
          <cell r="AD15">
            <v>0.93911917098445596</v>
          </cell>
          <cell r="AE15">
            <v>2.7227979274611398</v>
          </cell>
          <cell r="AF15">
            <v>6.596502590673575</v>
          </cell>
        </row>
        <row r="16">
          <cell r="W16" t="str">
            <v>SU016</v>
          </cell>
          <cell r="X16">
            <v>2441</v>
          </cell>
          <cell r="Y16">
            <v>80148.661546152798</v>
          </cell>
          <cell r="Z16">
            <v>112858.46774193548</v>
          </cell>
          <cell r="AA16">
            <v>58105.874125874128</v>
          </cell>
          <cell r="AB16">
            <v>48647.8820873722</v>
          </cell>
          <cell r="AC16">
            <v>9.0139287177386311</v>
          </cell>
          <cell r="AD16">
            <v>1.0159770585825483</v>
          </cell>
          <cell r="AE16">
            <v>2.9291274068004918</v>
          </cell>
          <cell r="AF16">
            <v>6.1704219582138462</v>
          </cell>
        </row>
        <row r="17">
          <cell r="W17" t="str">
            <v>SU017</v>
          </cell>
          <cell r="X17">
            <v>689</v>
          </cell>
          <cell r="Y17">
            <v>67438.463362580034</v>
          </cell>
          <cell r="Z17">
            <v>91685.139318885456</v>
          </cell>
          <cell r="AA17">
            <v>65106.335728282167</v>
          </cell>
          <cell r="AB17">
            <v>53800.255452937708</v>
          </cell>
          <cell r="AC17">
            <v>12.240928882438316</v>
          </cell>
          <cell r="AD17">
            <v>1.8751814223512335</v>
          </cell>
          <cell r="AE17">
            <v>2.2220609579100143</v>
          </cell>
          <cell r="AF17">
            <v>7.3860667634252541</v>
          </cell>
        </row>
        <row r="18">
          <cell r="W18" t="str">
            <v>SU019</v>
          </cell>
          <cell r="X18">
            <v>159</v>
          </cell>
          <cell r="Y18">
            <v>54050.64</v>
          </cell>
          <cell r="Z18">
            <v>79358.833333333328</v>
          </cell>
          <cell r="AA18">
            <v>46456.775700934573</v>
          </cell>
          <cell r="AB18">
            <v>46680.043383947945</v>
          </cell>
          <cell r="AC18">
            <v>15.723270440251572</v>
          </cell>
          <cell r="AD18">
            <v>3.7735849056603774</v>
          </cell>
          <cell r="AE18">
            <v>2.6918238993710695</v>
          </cell>
          <cell r="AF18">
            <v>5.798742138364779</v>
          </cell>
        </row>
        <row r="19">
          <cell r="W19" t="str">
            <v>SU020</v>
          </cell>
          <cell r="X19">
            <v>1699</v>
          </cell>
          <cell r="Y19">
            <v>54794.809455257389</v>
          </cell>
          <cell r="Z19">
            <v>89690.892018779356</v>
          </cell>
          <cell r="AA19">
            <v>60512.323232323237</v>
          </cell>
          <cell r="AB19">
            <v>42005.657466918718</v>
          </cell>
          <cell r="AC19">
            <v>10.221306650971162</v>
          </cell>
          <cell r="AD19">
            <v>1.2536786344908768</v>
          </cell>
          <cell r="AE19">
            <v>2.0394349617422014</v>
          </cell>
          <cell r="AF19">
            <v>6.2271924661565627</v>
          </cell>
        </row>
        <row r="20">
          <cell r="W20" t="str">
            <v>SU021</v>
          </cell>
          <cell r="X20">
            <v>1639</v>
          </cell>
          <cell r="Y20">
            <v>58429.059233449472</v>
          </cell>
          <cell r="Z20">
            <v>102577.61538461539</v>
          </cell>
          <cell r="AA20">
            <v>58730.05</v>
          </cell>
          <cell r="AB20">
            <v>47346.168032786896</v>
          </cell>
          <cell r="AC20">
            <v>10.506406345332522</v>
          </cell>
          <cell r="AD20">
            <v>0.79316656497864546</v>
          </cell>
          <cell r="AE20">
            <v>2.4405125076266017</v>
          </cell>
          <cell r="AF20">
            <v>5.9548505186089074</v>
          </cell>
        </row>
        <row r="21">
          <cell r="W21" t="str">
            <v>SU022</v>
          </cell>
          <cell r="X21">
            <v>1562</v>
          </cell>
          <cell r="Y21">
            <v>62702.90160369665</v>
          </cell>
          <cell r="Z21">
            <v>91014.651162790702</v>
          </cell>
          <cell r="AA21">
            <v>54785.388429752078</v>
          </cell>
          <cell r="AB21">
            <v>54075.464826528652</v>
          </cell>
          <cell r="AC21">
            <v>9.4212548015364934</v>
          </cell>
          <cell r="AD21">
            <v>0.82586427656850192</v>
          </cell>
          <cell r="AE21">
            <v>1.9366197183098586</v>
          </cell>
          <cell r="AF21">
            <v>3.3399487836107555</v>
          </cell>
        </row>
        <row r="22">
          <cell r="W22" t="str">
            <v>SU023</v>
          </cell>
          <cell r="X22">
            <v>2419</v>
          </cell>
          <cell r="Y22">
            <v>68754.209003744705</v>
          </cell>
          <cell r="Z22">
            <v>74139.037037037036</v>
          </cell>
          <cell r="AA22">
            <v>66580.619901719896</v>
          </cell>
          <cell r="AB22">
            <v>55496.73812020976</v>
          </cell>
          <cell r="AC22">
            <v>10.045886730053741</v>
          </cell>
          <cell r="AD22">
            <v>1.1161637040099215</v>
          </cell>
          <cell r="AE22">
            <v>1.6825134353038447</v>
          </cell>
          <cell r="AF22">
            <v>5.1240181893344356</v>
          </cell>
        </row>
        <row r="23">
          <cell r="W23" t="str">
            <v>SU024</v>
          </cell>
          <cell r="X23">
            <v>502</v>
          </cell>
          <cell r="Y23">
            <v>58176.577060931893</v>
          </cell>
          <cell r="Z23">
            <v>101975.625</v>
          </cell>
          <cell r="AA23">
            <v>55518.959537572249</v>
          </cell>
          <cell r="AB23">
            <v>49484.164810690425</v>
          </cell>
          <cell r="AC23">
            <v>11.115537848605578</v>
          </cell>
          <cell r="AD23">
            <v>1.593625498007968</v>
          </cell>
          <cell r="AE23">
            <v>3.4462151394422311</v>
          </cell>
          <cell r="AF23">
            <v>8.9442231075697212</v>
          </cell>
        </row>
        <row r="24">
          <cell r="W24" t="str">
            <v>SU025</v>
          </cell>
          <cell r="X24">
            <v>1529</v>
          </cell>
          <cell r="Y24">
            <v>56805.089720868396</v>
          </cell>
          <cell r="Z24">
            <v>79674.482758620681</v>
          </cell>
          <cell r="AA24">
            <v>51738.678885070636</v>
          </cell>
          <cell r="AB24">
            <v>40359.997415018748</v>
          </cell>
          <cell r="AC24">
            <v>11.809025506867235</v>
          </cell>
          <cell r="AD24">
            <v>1.7069980379332896</v>
          </cell>
          <cell r="AE24">
            <v>3.425768476128189</v>
          </cell>
          <cell r="AF24">
            <v>5.0601700457815566</v>
          </cell>
        </row>
        <row r="25">
          <cell r="W25" t="str">
            <v>SU026</v>
          </cell>
          <cell r="X25">
            <v>1455</v>
          </cell>
          <cell r="Y25">
            <v>71238.385885885873</v>
          </cell>
          <cell r="Z25">
            <v>94390.654205607469</v>
          </cell>
          <cell r="AA25">
            <v>71887.8125</v>
          </cell>
          <cell r="AB25">
            <v>54672.013201320129</v>
          </cell>
          <cell r="AC25">
            <v>9.1546391752577332</v>
          </cell>
          <cell r="AD25">
            <v>1.1030927835051547</v>
          </cell>
          <cell r="AE25">
            <v>1.759450171821306</v>
          </cell>
          <cell r="AF25">
            <v>6.2474226804123711</v>
          </cell>
        </row>
        <row r="26">
          <cell r="W26" t="str">
            <v>SU027</v>
          </cell>
          <cell r="X26">
            <v>1408</v>
          </cell>
          <cell r="Y26">
            <v>62058.90253261703</v>
          </cell>
          <cell r="Z26">
            <v>87561.772727272721</v>
          </cell>
          <cell r="AA26">
            <v>67595.452891960711</v>
          </cell>
          <cell r="AB26">
            <v>49878.088847755673</v>
          </cell>
          <cell r="AC26">
            <v>11.105113636363638</v>
          </cell>
          <cell r="AD26">
            <v>1.5625</v>
          </cell>
          <cell r="AE26">
            <v>1.9524147727272729</v>
          </cell>
          <cell r="AF26">
            <v>6.1392045454545459</v>
          </cell>
        </row>
        <row r="27">
          <cell r="W27" t="str">
            <v>SU028</v>
          </cell>
          <cell r="X27">
            <v>799</v>
          </cell>
          <cell r="Y27">
            <v>60973.405797101448</v>
          </cell>
          <cell r="Z27">
            <v>96999.191176470573</v>
          </cell>
          <cell r="AA27">
            <v>45988.348082595869</v>
          </cell>
          <cell r="AB27">
            <v>48813.705035971223</v>
          </cell>
          <cell r="AC27">
            <v>10.362953692115145</v>
          </cell>
          <cell r="AD27">
            <v>1.7021276595744681</v>
          </cell>
          <cell r="AE27">
            <v>4.2428035043804755</v>
          </cell>
          <cell r="AF27">
            <v>6.9586983729662082</v>
          </cell>
        </row>
        <row r="28">
          <cell r="W28" t="str">
            <v>SU030</v>
          </cell>
          <cell r="X28">
            <v>1146</v>
          </cell>
          <cell r="Y28">
            <v>58772.751407884156</v>
          </cell>
          <cell r="Z28">
            <v>87001</v>
          </cell>
          <cell r="AA28">
            <v>60460.725190839687</v>
          </cell>
          <cell r="AB28">
            <v>45698.450258290286</v>
          </cell>
          <cell r="AC28">
            <v>10.846422338568935</v>
          </cell>
          <cell r="AD28">
            <v>1.5706806282722512</v>
          </cell>
          <cell r="AE28">
            <v>2.2862129144851662</v>
          </cell>
          <cell r="AF28">
            <v>5.2364746945898784</v>
          </cell>
        </row>
        <row r="29">
          <cell r="W29" t="str">
            <v>SU031</v>
          </cell>
          <cell r="X29">
            <v>2324</v>
          </cell>
          <cell r="Y29">
            <v>57496.584671681238</v>
          </cell>
          <cell r="Z29">
            <v>87273.673469387752</v>
          </cell>
          <cell r="AA29">
            <v>36937.633136094679</v>
          </cell>
          <cell r="AB29">
            <v>41829.185074423978</v>
          </cell>
          <cell r="AC29">
            <v>10.583046471600689</v>
          </cell>
          <cell r="AD29">
            <v>1.0542168674698795</v>
          </cell>
          <cell r="AE29">
            <v>3.9995697074010321</v>
          </cell>
          <cell r="AF29">
            <v>6.330895008605852</v>
          </cell>
        </row>
        <row r="30">
          <cell r="W30" t="str">
            <v>SU032</v>
          </cell>
          <cell r="X30">
            <v>1294</v>
          </cell>
          <cell r="Y30">
            <v>100366.30643967431</v>
          </cell>
          <cell r="Z30">
            <v>96403.749999999985</v>
          </cell>
          <cell r="AA30">
            <v>69186.808167651805</v>
          </cell>
          <cell r="AB30">
            <v>51338.68778280542</v>
          </cell>
          <cell r="AC30">
            <v>10.440494590417309</v>
          </cell>
          <cell r="AD30">
            <v>1.3601236476043277</v>
          </cell>
          <cell r="AE30">
            <v>2.8763523956723338</v>
          </cell>
          <cell r="AF30">
            <v>5.8068006182380225</v>
          </cell>
        </row>
        <row r="31">
          <cell r="W31" t="str">
            <v>SU033</v>
          </cell>
          <cell r="X31">
            <v>730</v>
          </cell>
          <cell r="Y31">
            <v>62471.87770770496</v>
          </cell>
          <cell r="Z31">
            <v>89964.421940928267</v>
          </cell>
          <cell r="AA31">
            <v>58153.4204361874</v>
          </cell>
          <cell r="AB31">
            <v>49786.825844004663</v>
          </cell>
          <cell r="AC31">
            <v>9.991780821917807</v>
          </cell>
          <cell r="AD31">
            <v>1.6232876712328765</v>
          </cell>
          <cell r="AE31">
            <v>3.3917808219178078</v>
          </cell>
          <cell r="AF31">
            <v>5.8835616438356153</v>
          </cell>
        </row>
        <row r="32">
          <cell r="W32" t="str">
            <v>SU034</v>
          </cell>
          <cell r="X32">
            <v>1036</v>
          </cell>
          <cell r="Y32">
            <v>53638.481866229267</v>
          </cell>
          <cell r="Z32">
            <v>87929.642857142855</v>
          </cell>
          <cell r="AA32">
            <v>45361.480433757657</v>
          </cell>
          <cell r="AB32">
            <v>43528.32147093711</v>
          </cell>
          <cell r="AC32">
            <v>10.592664092664092</v>
          </cell>
          <cell r="AD32">
            <v>1.3513513513513513</v>
          </cell>
          <cell r="AE32">
            <v>2.0472972972972974</v>
          </cell>
          <cell r="AF32">
            <v>6.5096525096525122</v>
          </cell>
        </row>
        <row r="33">
          <cell r="W33" t="str">
            <v>SU035</v>
          </cell>
          <cell r="X33">
            <v>894</v>
          </cell>
          <cell r="Y33">
            <v>61532.953776775648</v>
          </cell>
          <cell r="Z33">
            <v>80328</v>
          </cell>
          <cell r="AA33">
            <v>54955.871559633037</v>
          </cell>
          <cell r="AB33">
            <v>47522.535211267605</v>
          </cell>
          <cell r="AC33">
            <v>9.9217002237136462</v>
          </cell>
          <cell r="AD33">
            <v>1.9015659955257269</v>
          </cell>
          <cell r="AE33">
            <v>2.4384787472035789</v>
          </cell>
          <cell r="AF33">
            <v>6.9888143176733779</v>
          </cell>
        </row>
        <row r="34">
          <cell r="W34" t="str">
            <v>SU036</v>
          </cell>
          <cell r="X34">
            <v>1305</v>
          </cell>
          <cell r="Y34">
            <v>68247.191887675508</v>
          </cell>
          <cell r="Z34">
            <v>94603.823529411762</v>
          </cell>
          <cell r="AA34">
            <v>54997.898230088489</v>
          </cell>
          <cell r="AB34">
            <v>49671.749226006199</v>
          </cell>
          <cell r="AC34">
            <v>9.8237547892720301</v>
          </cell>
          <cell r="AD34">
            <v>1.3026819923371646</v>
          </cell>
          <cell r="AE34">
            <v>3.4636015325670502</v>
          </cell>
          <cell r="AF34">
            <v>4.9501915708812261</v>
          </cell>
        </row>
        <row r="35">
          <cell r="W35" t="str">
            <v>SU040</v>
          </cell>
          <cell r="X35">
            <v>1858</v>
          </cell>
          <cell r="Y35">
            <v>67689.180303369954</v>
          </cell>
          <cell r="Z35">
            <v>116318.15</v>
          </cell>
          <cell r="AA35">
            <v>61843.080798992261</v>
          </cell>
          <cell r="AB35">
            <v>56688.356254093</v>
          </cell>
          <cell r="AC35">
            <v>7.2029063509149616</v>
          </cell>
          <cell r="AD35">
            <v>1.0764262648008611</v>
          </cell>
          <cell r="AE35">
            <v>2.9908503767491927</v>
          </cell>
          <cell r="AF35">
            <v>4.1092572658772868</v>
          </cell>
        </row>
        <row r="36">
          <cell r="W36" t="str">
            <v>SU042</v>
          </cell>
          <cell r="X36">
            <v>1612</v>
          </cell>
          <cell r="Y36">
            <v>67959.92237935189</v>
          </cell>
          <cell r="Z36">
            <v>59201.82046223223</v>
          </cell>
          <cell r="AA36">
            <v>60578.179959919828</v>
          </cell>
          <cell r="AB36">
            <v>55752.153465346542</v>
          </cell>
          <cell r="AC36">
            <v>9.7822580645161299</v>
          </cell>
          <cell r="AD36">
            <v>2.2009925558312657</v>
          </cell>
          <cell r="AE36">
            <v>3.0955334987593055</v>
          </cell>
          <cell r="AF36">
            <v>5.3883374689826287</v>
          </cell>
        </row>
        <row r="37">
          <cell r="W37" t="str">
            <v>SU046</v>
          </cell>
          <cell r="X37">
            <v>638</v>
          </cell>
          <cell r="Y37">
            <v>68807.302362927279</v>
          </cell>
          <cell r="Z37">
            <v>95889.975384615376</v>
          </cell>
          <cell r="AA37">
            <v>60163.102290679293</v>
          </cell>
          <cell r="AB37">
            <v>49058.019402985068</v>
          </cell>
          <cell r="AC37">
            <v>13.664576802507836</v>
          </cell>
          <cell r="AD37">
            <v>2.0376175548589339</v>
          </cell>
          <cell r="AE37">
            <v>3.9686520376175554</v>
          </cell>
          <cell r="AF37">
            <v>8.4012539184952981</v>
          </cell>
        </row>
        <row r="38">
          <cell r="W38" t="str">
            <v>SU047</v>
          </cell>
          <cell r="X38">
            <v>971</v>
          </cell>
          <cell r="Y38">
            <v>61910.484379056688</v>
          </cell>
          <cell r="Z38">
            <v>55655.885652173914</v>
          </cell>
          <cell r="AA38">
            <v>40528.544186046507</v>
          </cell>
          <cell r="AB38">
            <v>40639.718940397353</v>
          </cell>
          <cell r="AC38">
            <v>11.900102986611742</v>
          </cell>
          <cell r="AD38">
            <v>2.368692070030896</v>
          </cell>
          <cell r="AE38">
            <v>5.3141091658084445</v>
          </cell>
          <cell r="AF38">
            <v>7.7754891864057694</v>
          </cell>
        </row>
        <row r="39">
          <cell r="W39" t="str">
            <v>SU048</v>
          </cell>
          <cell r="X39">
            <v>2291</v>
          </cell>
          <cell r="Y39">
            <v>67823.466126970598</v>
          </cell>
          <cell r="Z39">
            <v>97283.227597145131</v>
          </cell>
          <cell r="AA39">
            <v>68015.043559427504</v>
          </cell>
          <cell r="AB39">
            <v>52927.484020918077</v>
          </cell>
          <cell r="AC39">
            <v>12.293321693583588</v>
          </cell>
          <cell r="AD39">
            <v>1.1008293321693583</v>
          </cell>
          <cell r="AE39">
            <v>2.8057616761239634</v>
          </cell>
          <cell r="AF39">
            <v>4.5072020951549536</v>
          </cell>
        </row>
        <row r="40">
          <cell r="W40" t="str">
            <v>SU049</v>
          </cell>
          <cell r="X40">
            <v>518</v>
          </cell>
          <cell r="Y40">
            <v>61318.080808080813</v>
          </cell>
          <cell r="Z40">
            <v>96538.7</v>
          </cell>
          <cell r="AA40">
            <v>54851.820128479674</v>
          </cell>
          <cell r="AB40">
            <v>42860.351493848852</v>
          </cell>
          <cell r="AC40">
            <v>11.467181467181467</v>
          </cell>
          <cell r="AD40">
            <v>1.9305019305019304</v>
          </cell>
          <cell r="AE40">
            <v>4.5077220077220064</v>
          </cell>
          <cell r="AF40">
            <v>5.4922779922779927</v>
          </cell>
        </row>
        <row r="41">
          <cell r="W41" t="str">
            <v>SU051</v>
          </cell>
          <cell r="X41">
            <v>898</v>
          </cell>
          <cell r="Y41">
            <v>67479.008472635673</v>
          </cell>
          <cell r="Z41">
            <v>95446.470588235301</v>
          </cell>
          <cell r="AA41">
            <v>71593.177189409384</v>
          </cell>
          <cell r="AB41">
            <v>47473.552631578954</v>
          </cell>
          <cell r="AC41">
            <v>9.7260579064587969</v>
          </cell>
          <cell r="AD41">
            <v>1.8930957683741649</v>
          </cell>
          <cell r="AE41">
            <v>2.1870824053452109</v>
          </cell>
          <cell r="AF41">
            <v>5.924276169265033</v>
          </cell>
        </row>
        <row r="42">
          <cell r="W42" t="str">
            <v>SU052</v>
          </cell>
          <cell r="X42">
            <v>1095</v>
          </cell>
          <cell r="Y42">
            <v>65882.177592954991</v>
          </cell>
          <cell r="Z42">
            <v>86554.627058823535</v>
          </cell>
          <cell r="AA42">
            <v>60227.378818737256</v>
          </cell>
          <cell r="AB42">
            <v>44753.824874659163</v>
          </cell>
          <cell r="AC42">
            <v>11.200000000000001</v>
          </cell>
          <cell r="AD42">
            <v>1.5525114155251141</v>
          </cell>
          <cell r="AE42">
            <v>1.7936073059360731</v>
          </cell>
          <cell r="AF42">
            <v>10.382648401826483</v>
          </cell>
        </row>
        <row r="43">
          <cell r="W43" t="str">
            <v>SU054</v>
          </cell>
          <cell r="X43">
            <v>1340</v>
          </cell>
          <cell r="Y43">
            <v>62674.562677612885</v>
          </cell>
          <cell r="Z43">
            <v>94947.833333333328</v>
          </cell>
          <cell r="AA43">
            <v>64129.335106382976</v>
          </cell>
          <cell r="AB43">
            <v>55513.187600788391</v>
          </cell>
          <cell r="AC43">
            <v>11.817164179104477</v>
          </cell>
          <cell r="AD43">
            <v>1.3432835820895521</v>
          </cell>
          <cell r="AE43">
            <v>2.8059701492537314</v>
          </cell>
          <cell r="AF43">
            <v>4.1649253731343281</v>
          </cell>
        </row>
        <row r="44">
          <cell r="W44" t="str">
            <v>SU055</v>
          </cell>
          <cell r="X44">
            <v>298</v>
          </cell>
          <cell r="Y44">
            <v>76767.971530249109</v>
          </cell>
          <cell r="Z44">
            <v>111799</v>
          </cell>
          <cell r="AA44">
            <v>84975.8</v>
          </cell>
          <cell r="AB44">
            <v>49573.260869565223</v>
          </cell>
          <cell r="AC44">
            <v>10.372483221476509</v>
          </cell>
          <cell r="AD44">
            <v>0.33557046979865773</v>
          </cell>
          <cell r="AE44">
            <v>1.6778523489932886</v>
          </cell>
          <cell r="AF44">
            <v>1.5436241610738253</v>
          </cell>
        </row>
        <row r="45">
          <cell r="W45" t="str">
            <v>SU056</v>
          </cell>
          <cell r="X45">
            <v>1098</v>
          </cell>
          <cell r="Y45">
            <v>62897.877331675241</v>
          </cell>
          <cell r="Z45">
            <v>99604.5</v>
          </cell>
          <cell r="AA45">
            <v>56862.883789349806</v>
          </cell>
          <cell r="AB45">
            <v>43408.735361754821</v>
          </cell>
          <cell r="AC45">
            <v>10.253187613843352</v>
          </cell>
          <cell r="AD45">
            <v>1.0928961748633881</v>
          </cell>
          <cell r="AE45">
            <v>3.0956284153005464</v>
          </cell>
          <cell r="AF45">
            <v>5.1484517304189437</v>
          </cell>
        </row>
        <row r="46">
          <cell r="W46" t="str">
            <v>SU061</v>
          </cell>
          <cell r="X46">
            <v>1986</v>
          </cell>
          <cell r="Y46">
            <v>60868.339869281044</v>
          </cell>
          <cell r="Z46">
            <v>94252.25</v>
          </cell>
          <cell r="AA46">
            <v>64662.164502164502</v>
          </cell>
          <cell r="AB46">
            <v>50502.891891891893</v>
          </cell>
          <cell r="AC46">
            <v>9.6299093655589125</v>
          </cell>
          <cell r="AD46">
            <v>1.0070493454179255</v>
          </cell>
          <cell r="AE46">
            <v>2.3262839879154078</v>
          </cell>
          <cell r="AF46">
            <v>7.4521651560926481</v>
          </cell>
        </row>
        <row r="47">
          <cell r="W47" t="str">
            <v>SU063</v>
          </cell>
          <cell r="X47">
            <v>792</v>
          </cell>
          <cell r="Y47">
            <v>64375.076452599395</v>
          </cell>
          <cell r="Z47">
            <v>77910.815217391311</v>
          </cell>
          <cell r="AA47">
            <v>58044.282744282755</v>
          </cell>
          <cell r="AB47">
            <v>44327.799227799238</v>
          </cell>
          <cell r="AC47">
            <v>12.386363636363635</v>
          </cell>
          <cell r="AD47">
            <v>2.3232323232323231</v>
          </cell>
          <cell r="AE47">
            <v>3.6439393939393931</v>
          </cell>
          <cell r="AF47">
            <v>5.2323232323232309</v>
          </cell>
        </row>
        <row r="48">
          <cell r="W48" t="str">
            <v>SU064</v>
          </cell>
          <cell r="X48">
            <v>387</v>
          </cell>
          <cell r="Y48">
            <v>59978.80516236469</v>
          </cell>
          <cell r="Z48">
            <v>106028.38235294117</v>
          </cell>
          <cell r="AA48">
            <v>51015.977777777778</v>
          </cell>
          <cell r="AB48">
            <v>42025.244426751597</v>
          </cell>
          <cell r="AC48">
            <v>12.413436692506458</v>
          </cell>
          <cell r="AD48">
            <v>1.7571059431524549</v>
          </cell>
          <cell r="AE48">
            <v>2.3255813953488373</v>
          </cell>
          <cell r="AF48">
            <v>6.4909560723514215</v>
          </cell>
        </row>
        <row r="49">
          <cell r="W49" t="str">
            <v>SU065</v>
          </cell>
          <cell r="X49">
            <v>3387</v>
          </cell>
          <cell r="Y49">
            <v>80342.532399524527</v>
          </cell>
          <cell r="Z49">
            <v>125806.16124999999</v>
          </cell>
          <cell r="AA49">
            <v>70313.126066098062</v>
          </cell>
          <cell r="AB49">
            <v>56010.680585280636</v>
          </cell>
          <cell r="AC49">
            <v>9.1901387658695022</v>
          </cell>
          <cell r="AD49">
            <v>0.70859167404782997</v>
          </cell>
          <cell r="AE49">
            <v>2.2155299675228819</v>
          </cell>
          <cell r="AF49">
            <v>6.7596693238854435</v>
          </cell>
        </row>
        <row r="50">
          <cell r="W50" t="str">
            <v>SU066</v>
          </cell>
          <cell r="X50">
            <v>1465</v>
          </cell>
          <cell r="Y50">
            <v>61142.526004879925</v>
          </cell>
          <cell r="Z50">
            <v>92614.639175257733</v>
          </cell>
          <cell r="AA50">
            <v>64665.597783056211</v>
          </cell>
          <cell r="AB50">
            <v>50550.8962011771</v>
          </cell>
          <cell r="AC50">
            <v>10.630716723549488</v>
          </cell>
          <cell r="AD50">
            <v>1.3242320819112627</v>
          </cell>
          <cell r="AE50">
            <v>1.7242320819112631</v>
          </cell>
          <cell r="AF50">
            <v>5.1030716723549494</v>
          </cell>
        </row>
        <row r="51">
          <cell r="W51" t="str">
            <v>SU067</v>
          </cell>
          <cell r="X51">
            <v>1078</v>
          </cell>
          <cell r="Y51">
            <v>54137.996203680777</v>
          </cell>
          <cell r="Z51">
            <v>87931.435768261959</v>
          </cell>
          <cell r="AA51">
            <v>59952.270270270274</v>
          </cell>
          <cell r="AB51">
            <v>51865.798678585321</v>
          </cell>
          <cell r="AC51">
            <v>11.240259740259742</v>
          </cell>
          <cell r="AD51">
            <v>1.8413729128014842</v>
          </cell>
          <cell r="AE51">
            <v>1.7161410018552876</v>
          </cell>
          <cell r="AF51">
            <v>7.1604823747680877</v>
          </cell>
        </row>
        <row r="52">
          <cell r="W52" t="str">
            <v>SU068</v>
          </cell>
          <cell r="X52">
            <v>1126</v>
          </cell>
          <cell r="Y52">
            <v>59924.267281105989</v>
          </cell>
          <cell r="Z52">
            <v>90092</v>
          </cell>
          <cell r="AA52">
            <v>54299.507692307692</v>
          </cell>
          <cell r="AB52">
            <v>48798.989898989894</v>
          </cell>
          <cell r="AC52">
            <v>9.6358792184724695</v>
          </cell>
          <cell r="AD52">
            <v>1.4209591474245116</v>
          </cell>
          <cell r="AE52">
            <v>2.8863232682060391</v>
          </cell>
          <cell r="AF52">
            <v>3.5168738898756664</v>
          </cell>
        </row>
        <row r="53">
          <cell r="W53" t="str">
            <v>SU069</v>
          </cell>
          <cell r="X53">
            <v>1128</v>
          </cell>
          <cell r="Y53">
            <v>66593.209071459132</v>
          </cell>
          <cell r="Z53">
            <v>103086</v>
          </cell>
          <cell r="AA53">
            <v>65564.848039215707</v>
          </cell>
          <cell r="AB53">
            <v>40878.69769658459</v>
          </cell>
          <cell r="AC53">
            <v>10.35904255319149</v>
          </cell>
          <cell r="AD53">
            <v>1.1081560283687943</v>
          </cell>
          <cell r="AE53">
            <v>1.8085106382978717</v>
          </cell>
          <cell r="AF53">
            <v>5.580673758865248</v>
          </cell>
        </row>
        <row r="54">
          <cell r="W54" t="str">
            <v>Grand Total</v>
          </cell>
          <cell r="X54">
            <v>72268</v>
          </cell>
          <cell r="Y54">
            <v>66674.526251292511</v>
          </cell>
          <cell r="Z54">
            <v>89937.64454238498</v>
          </cell>
          <cell r="AA54">
            <v>59179.648024509988</v>
          </cell>
          <cell r="AB54">
            <v>47320.33405993029</v>
          </cell>
          <cell r="AC54">
            <v>10.264197155034042</v>
          </cell>
          <cell r="AD54">
            <v>1.3155061714728513</v>
          </cell>
          <cell r="AE54">
            <v>2.6466624232025238</v>
          </cell>
          <cell r="AF54">
            <v>5.9417584546410565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d"/>
      <sheetName val="Original"/>
      <sheetName val="Updated (2)"/>
    </sheetNames>
    <sheetDataSet>
      <sheetData sheetId="0"/>
      <sheetData sheetId="1"/>
      <sheetData sheetId="2">
        <row r="2">
          <cell r="A2" t="str">
            <v>SU/SD</v>
          </cell>
          <cell r="B2">
            <v>568</v>
          </cell>
          <cell r="C2">
            <v>569</v>
          </cell>
          <cell r="D2">
            <v>597</v>
          </cell>
          <cell r="E2">
            <v>598</v>
          </cell>
          <cell r="F2">
            <v>568</v>
          </cell>
          <cell r="G2">
            <v>569</v>
          </cell>
          <cell r="H2">
            <v>597</v>
          </cell>
          <cell r="I2">
            <v>598</v>
          </cell>
          <cell r="J2">
            <v>568</v>
          </cell>
          <cell r="K2">
            <v>569</v>
          </cell>
          <cell r="L2">
            <v>597</v>
          </cell>
          <cell r="M2">
            <v>598</v>
          </cell>
          <cell r="N2">
            <v>568</v>
          </cell>
          <cell r="O2">
            <v>569</v>
          </cell>
          <cell r="P2">
            <v>597</v>
          </cell>
          <cell r="Q2">
            <v>598</v>
          </cell>
        </row>
        <row r="3">
          <cell r="A3" t="str">
            <v>SU001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A4" t="str">
            <v>SU002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A5" t="str">
            <v>SU003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SU004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A7" t="str">
            <v>SU005</v>
          </cell>
          <cell r="B7">
            <v>135300</v>
          </cell>
          <cell r="C7">
            <v>0</v>
          </cell>
          <cell r="D7">
            <v>0</v>
          </cell>
          <cell r="E7">
            <v>0</v>
          </cell>
          <cell r="F7">
            <v>210853</v>
          </cell>
          <cell r="G7">
            <v>0</v>
          </cell>
          <cell r="H7">
            <v>0</v>
          </cell>
          <cell r="I7">
            <v>0</v>
          </cell>
          <cell r="J7">
            <v>744496</v>
          </cell>
          <cell r="K7">
            <v>0</v>
          </cell>
          <cell r="L7">
            <v>0</v>
          </cell>
          <cell r="M7">
            <v>0</v>
          </cell>
          <cell r="N7">
            <v>737107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SU006</v>
          </cell>
          <cell r="B8">
            <v>447271</v>
          </cell>
          <cell r="C8">
            <v>0</v>
          </cell>
          <cell r="D8">
            <v>12677</v>
          </cell>
          <cell r="E8">
            <v>150599</v>
          </cell>
          <cell r="F8">
            <v>398147</v>
          </cell>
          <cell r="G8">
            <v>0</v>
          </cell>
          <cell r="H8">
            <v>418828</v>
          </cell>
          <cell r="I8">
            <v>74735</v>
          </cell>
          <cell r="J8">
            <v>0</v>
          </cell>
          <cell r="K8">
            <v>0</v>
          </cell>
          <cell r="L8">
            <v>53290</v>
          </cell>
          <cell r="M8">
            <v>62743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SU007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 t="str">
            <v>SU009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SU010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A12" t="str">
            <v>SU011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SU012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SU014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SU015</v>
          </cell>
          <cell r="B15">
            <v>0</v>
          </cell>
          <cell r="C15">
            <v>575579.94999999995</v>
          </cell>
          <cell r="D15">
            <v>0</v>
          </cell>
          <cell r="E15">
            <v>0</v>
          </cell>
          <cell r="F15">
            <v>0</v>
          </cell>
          <cell r="G15">
            <v>584973.72</v>
          </cell>
          <cell r="H15">
            <v>0</v>
          </cell>
          <cell r="I15">
            <v>0</v>
          </cell>
          <cell r="J15">
            <v>0</v>
          </cell>
          <cell r="K15">
            <v>581750.12</v>
          </cell>
          <cell r="L15">
            <v>0</v>
          </cell>
          <cell r="M15">
            <v>0</v>
          </cell>
          <cell r="N15">
            <v>0</v>
          </cell>
          <cell r="O15">
            <v>619442.67000000004</v>
          </cell>
          <cell r="P15">
            <v>0</v>
          </cell>
          <cell r="Q15">
            <v>0</v>
          </cell>
        </row>
        <row r="16">
          <cell r="A16" t="str">
            <v>SU016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 t="str">
            <v>SU017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 t="str">
            <v>SU019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 t="str">
            <v>SU020</v>
          </cell>
          <cell r="B19">
            <v>2715300</v>
          </cell>
          <cell r="C19">
            <v>247177.49</v>
          </cell>
          <cell r="D19">
            <v>387199</v>
          </cell>
          <cell r="E19">
            <v>0</v>
          </cell>
          <cell r="F19">
            <v>2353860</v>
          </cell>
          <cell r="G19">
            <v>258428.72999999998</v>
          </cell>
          <cell r="H19">
            <v>279779</v>
          </cell>
          <cell r="I19">
            <v>0</v>
          </cell>
          <cell r="J19">
            <v>2762305</v>
          </cell>
          <cell r="K19">
            <v>443227.2</v>
          </cell>
          <cell r="L19">
            <v>484164.04</v>
          </cell>
          <cell r="M19">
            <v>0</v>
          </cell>
          <cell r="N19">
            <v>2710475</v>
          </cell>
          <cell r="O19">
            <v>283948.34999999998</v>
          </cell>
          <cell r="P19">
            <v>713925.03</v>
          </cell>
          <cell r="Q19">
            <v>0</v>
          </cell>
        </row>
        <row r="20">
          <cell r="A20" t="str">
            <v>SU021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 t="str">
            <v>SU022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 t="str">
            <v>SU023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SU024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 t="str">
            <v>SU025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 t="str">
            <v>SU026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 t="str">
            <v>SU027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 t="str">
            <v>SU028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 t="str">
            <v>SU030</v>
          </cell>
          <cell r="B28">
            <v>1069382.58</v>
          </cell>
          <cell r="C28">
            <v>0</v>
          </cell>
          <cell r="D28">
            <v>0</v>
          </cell>
          <cell r="E28">
            <v>0</v>
          </cell>
          <cell r="F28">
            <v>994664.09</v>
          </cell>
          <cell r="G28">
            <v>0</v>
          </cell>
          <cell r="H28">
            <v>0</v>
          </cell>
          <cell r="I28">
            <v>0</v>
          </cell>
          <cell r="J28">
            <v>957017.89</v>
          </cell>
          <cell r="K28">
            <v>0</v>
          </cell>
          <cell r="L28">
            <v>0</v>
          </cell>
          <cell r="M28">
            <v>0</v>
          </cell>
          <cell r="N28">
            <v>766829.98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SU031</v>
          </cell>
          <cell r="B29">
            <v>4151213</v>
          </cell>
          <cell r="C29">
            <v>809055</v>
          </cell>
          <cell r="D29">
            <v>4073116</v>
          </cell>
          <cell r="E29">
            <v>89218</v>
          </cell>
          <cell r="F29">
            <v>3634789</v>
          </cell>
          <cell r="G29">
            <v>675126</v>
          </cell>
          <cell r="H29">
            <v>8063973</v>
          </cell>
          <cell r="I29">
            <v>53569</v>
          </cell>
          <cell r="J29">
            <v>4339504</v>
          </cell>
          <cell r="K29">
            <v>616327</v>
          </cell>
          <cell r="L29">
            <v>6318105</v>
          </cell>
          <cell r="M29">
            <v>112000</v>
          </cell>
          <cell r="N29">
            <v>2110455</v>
          </cell>
          <cell r="O29">
            <v>270544</v>
          </cell>
          <cell r="P29">
            <v>3484149</v>
          </cell>
          <cell r="Q29">
            <v>280</v>
          </cell>
        </row>
        <row r="30">
          <cell r="A30" t="str">
            <v>SU032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 t="str">
            <v>SU033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SU034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 t="str">
            <v>SU035</v>
          </cell>
          <cell r="B33">
            <v>767060</v>
          </cell>
          <cell r="C33">
            <v>0</v>
          </cell>
          <cell r="D33">
            <v>0</v>
          </cell>
          <cell r="E33">
            <v>0</v>
          </cell>
          <cell r="F33">
            <v>601137.72</v>
          </cell>
          <cell r="G33">
            <v>0</v>
          </cell>
          <cell r="H33">
            <v>0</v>
          </cell>
          <cell r="I33">
            <v>0</v>
          </cell>
          <cell r="J33">
            <v>654500</v>
          </cell>
          <cell r="K33">
            <v>0</v>
          </cell>
          <cell r="L33">
            <v>215864.59999999998</v>
          </cell>
          <cell r="M33">
            <v>0</v>
          </cell>
          <cell r="N33">
            <v>557163</v>
          </cell>
          <cell r="O33">
            <v>0</v>
          </cell>
          <cell r="P33">
            <v>0</v>
          </cell>
          <cell r="Q33">
            <v>0</v>
          </cell>
        </row>
        <row r="34">
          <cell r="A34" t="str">
            <v>SU036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 t="str">
            <v>SU040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 t="str">
            <v>SU042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SU046</v>
          </cell>
          <cell r="B37">
            <v>156600</v>
          </cell>
          <cell r="C37">
            <v>0</v>
          </cell>
          <cell r="D37">
            <v>1908458</v>
          </cell>
          <cell r="E37">
            <v>0</v>
          </cell>
          <cell r="F37">
            <v>622035</v>
          </cell>
          <cell r="G37">
            <v>0</v>
          </cell>
          <cell r="H37">
            <v>1925921</v>
          </cell>
          <cell r="I37">
            <v>0</v>
          </cell>
          <cell r="J37">
            <v>428926</v>
          </cell>
          <cell r="K37">
            <v>0</v>
          </cell>
          <cell r="L37">
            <v>1669280</v>
          </cell>
          <cell r="M37">
            <v>0</v>
          </cell>
          <cell r="N37">
            <v>530439.80000000005</v>
          </cell>
          <cell r="O37">
            <v>0</v>
          </cell>
          <cell r="P37">
            <v>1591669</v>
          </cell>
          <cell r="Q37">
            <v>0</v>
          </cell>
        </row>
        <row r="38">
          <cell r="A38" t="str">
            <v>SU047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 t="str">
            <v>SU048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 t="str">
            <v>SU049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 t="str">
            <v>SU051</v>
          </cell>
          <cell r="B41">
            <v>716051</v>
          </cell>
          <cell r="C41">
            <v>0</v>
          </cell>
          <cell r="D41">
            <v>0</v>
          </cell>
          <cell r="E41">
            <v>0</v>
          </cell>
          <cell r="F41">
            <v>689850.95</v>
          </cell>
          <cell r="G41">
            <v>0</v>
          </cell>
          <cell r="H41">
            <v>0</v>
          </cell>
          <cell r="I41">
            <v>0</v>
          </cell>
          <cell r="J41">
            <v>579952</v>
          </cell>
          <cell r="K41">
            <v>0</v>
          </cell>
          <cell r="L41">
            <v>0</v>
          </cell>
          <cell r="M41">
            <v>0</v>
          </cell>
          <cell r="N41">
            <v>518849</v>
          </cell>
          <cell r="O41">
            <v>0</v>
          </cell>
          <cell r="P41">
            <v>0</v>
          </cell>
          <cell r="Q41">
            <v>0</v>
          </cell>
        </row>
        <row r="42">
          <cell r="A42" t="str">
            <v>SU052</v>
          </cell>
          <cell r="B42">
            <v>968805.71</v>
          </cell>
          <cell r="C42">
            <v>0</v>
          </cell>
          <cell r="D42">
            <v>0</v>
          </cell>
          <cell r="E42">
            <v>0</v>
          </cell>
          <cell r="F42">
            <v>1009158.28</v>
          </cell>
          <cell r="G42">
            <v>0</v>
          </cell>
          <cell r="H42">
            <v>0</v>
          </cell>
          <cell r="I42">
            <v>0</v>
          </cell>
          <cell r="J42">
            <v>1004256.94</v>
          </cell>
          <cell r="K42">
            <v>0</v>
          </cell>
          <cell r="L42">
            <v>70706.16</v>
          </cell>
          <cell r="M42">
            <v>0</v>
          </cell>
          <cell r="N42">
            <v>1027566</v>
          </cell>
          <cell r="O42">
            <v>110776</v>
          </cell>
          <cell r="P42">
            <v>0</v>
          </cell>
          <cell r="Q42">
            <v>0</v>
          </cell>
        </row>
        <row r="43">
          <cell r="A43" t="str">
            <v>SU054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 t="str">
            <v>SU055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 t="str">
            <v>SU056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SU060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 t="str">
            <v>SU061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 t="str">
            <v>SU063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 t="str">
            <v>SU064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 t="str">
            <v>SU065</v>
          </cell>
          <cell r="B50">
            <v>0</v>
          </cell>
          <cell r="C50">
            <v>550494</v>
          </cell>
          <cell r="D50">
            <v>0</v>
          </cell>
          <cell r="E50">
            <v>0</v>
          </cell>
          <cell r="F50">
            <v>0</v>
          </cell>
          <cell r="G50">
            <v>591743</v>
          </cell>
          <cell r="H50">
            <v>0</v>
          </cell>
          <cell r="I50">
            <v>0</v>
          </cell>
          <cell r="J50">
            <v>0</v>
          </cell>
          <cell r="K50">
            <v>625797</v>
          </cell>
          <cell r="L50">
            <v>0</v>
          </cell>
          <cell r="M50">
            <v>0</v>
          </cell>
          <cell r="N50">
            <v>0</v>
          </cell>
          <cell r="O50">
            <v>645042</v>
          </cell>
          <cell r="P50">
            <v>0</v>
          </cell>
          <cell r="Q50">
            <v>0</v>
          </cell>
        </row>
        <row r="51">
          <cell r="A51" t="str">
            <v>SU066</v>
          </cell>
          <cell r="B51">
            <v>837974.39</v>
          </cell>
          <cell r="C51">
            <v>0</v>
          </cell>
          <cell r="D51">
            <v>0</v>
          </cell>
          <cell r="E51">
            <v>0</v>
          </cell>
          <cell r="F51">
            <v>1046097.23</v>
          </cell>
          <cell r="G51">
            <v>0</v>
          </cell>
          <cell r="H51">
            <v>0</v>
          </cell>
          <cell r="I51">
            <v>0</v>
          </cell>
          <cell r="J51">
            <v>1114892.44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1134812.2</v>
          </cell>
          <cell r="P51">
            <v>0</v>
          </cell>
          <cell r="Q51">
            <v>0</v>
          </cell>
        </row>
        <row r="52">
          <cell r="A52" t="str">
            <v>SU067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SU068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 t="str">
            <v>SU069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Chart"/>
      <sheetName val="FY20Pivot"/>
      <sheetName val="FY20"/>
      <sheetName val="FY21Pivot"/>
      <sheetName val="FY21"/>
      <sheetName val="FY22Pivot"/>
      <sheetName val="FY22"/>
      <sheetName val="FY23Pivot"/>
      <sheetName val="FY23"/>
    </sheetNames>
    <sheetDataSet>
      <sheetData sheetId="0">
        <row r="3">
          <cell r="A3" t="str">
            <v>SU001</v>
          </cell>
          <cell r="B3">
            <v>3</v>
          </cell>
          <cell r="C3">
            <v>33174447.450000022</v>
          </cell>
          <cell r="D3">
            <v>33882185.710000023</v>
          </cell>
          <cell r="E3">
            <v>34774818.060000032</v>
          </cell>
          <cell r="F3">
            <v>39064800.329999998</v>
          </cell>
        </row>
        <row r="4">
          <cell r="A4" t="str">
            <v>SU002</v>
          </cell>
          <cell r="B4">
            <v>1</v>
          </cell>
          <cell r="C4">
            <v>21752287</v>
          </cell>
          <cell r="D4">
            <v>22172633</v>
          </cell>
          <cell r="E4">
            <v>24850763</v>
          </cell>
          <cell r="F4">
            <v>26365321.800000016</v>
          </cell>
        </row>
        <row r="5">
          <cell r="A5" t="str">
            <v>SU003</v>
          </cell>
          <cell r="B5">
            <v>3</v>
          </cell>
          <cell r="C5">
            <v>37184629.999999985</v>
          </cell>
          <cell r="D5">
            <v>39155188.079999968</v>
          </cell>
          <cell r="E5">
            <v>39596819.010000058</v>
          </cell>
          <cell r="F5">
            <v>45253441.839999989</v>
          </cell>
        </row>
        <row r="6">
          <cell r="A6" t="str">
            <v>SU004</v>
          </cell>
          <cell r="B6">
            <v>2</v>
          </cell>
          <cell r="C6">
            <v>26709926.60000002</v>
          </cell>
          <cell r="D6">
            <v>27473059.649999972</v>
          </cell>
          <cell r="E6">
            <v>33701416.870000042</v>
          </cell>
          <cell r="F6">
            <v>31949215.20000001</v>
          </cell>
        </row>
        <row r="7">
          <cell r="A7" t="str">
            <v>SU005</v>
          </cell>
          <cell r="B7">
            <v>4</v>
          </cell>
          <cell r="C7">
            <v>63864691.889999934</v>
          </cell>
          <cell r="D7">
            <v>63161286.240000024</v>
          </cell>
          <cell r="E7">
            <v>79324324.170000106</v>
          </cell>
          <cell r="F7">
            <v>84247840.280000106</v>
          </cell>
        </row>
        <row r="8">
          <cell r="A8" t="str">
            <v>SU006</v>
          </cell>
          <cell r="B8">
            <v>2</v>
          </cell>
          <cell r="C8">
            <v>49865177.140000008</v>
          </cell>
          <cell r="D8">
            <v>51089610.309999935</v>
          </cell>
          <cell r="E8">
            <v>53362529.04999993</v>
          </cell>
          <cell r="F8">
            <v>54493918.520000063</v>
          </cell>
        </row>
        <row r="9">
          <cell r="A9" t="str">
            <v>SU007</v>
          </cell>
          <cell r="B9">
            <v>4</v>
          </cell>
          <cell r="C9">
            <v>42559896.820000082</v>
          </cell>
          <cell r="D9">
            <v>45202217.620000042</v>
          </cell>
          <cell r="E9">
            <v>48761732.519999959</v>
          </cell>
          <cell r="F9">
            <v>53620105.039999917</v>
          </cell>
        </row>
        <row r="10">
          <cell r="A10" t="str">
            <v>SU009</v>
          </cell>
          <cell r="B10">
            <v>2</v>
          </cell>
          <cell r="C10">
            <v>37451268</v>
          </cell>
          <cell r="D10">
            <v>40432311</v>
          </cell>
          <cell r="E10">
            <v>40817800</v>
          </cell>
          <cell r="F10">
            <v>42837802</v>
          </cell>
        </row>
        <row r="11">
          <cell r="A11" t="str">
            <v>SU010</v>
          </cell>
          <cell r="B11">
            <v>3</v>
          </cell>
          <cell r="C11">
            <v>33840702.210000023</v>
          </cell>
          <cell r="D11">
            <v>31059286.799999967</v>
          </cell>
          <cell r="E11">
            <v>33959855.650000036</v>
          </cell>
          <cell r="F11">
            <v>36259067.519999973</v>
          </cell>
        </row>
        <row r="12">
          <cell r="A12" t="str">
            <v>SU011</v>
          </cell>
          <cell r="B12">
            <v>1</v>
          </cell>
          <cell r="C12">
            <v>23491556.120000008</v>
          </cell>
          <cell r="D12">
            <v>29338682.709999993</v>
          </cell>
          <cell r="E12">
            <v>29120634.75999999</v>
          </cell>
          <cell r="F12">
            <v>30470903.150000006</v>
          </cell>
        </row>
        <row r="13">
          <cell r="A13" t="str">
            <v>SU012</v>
          </cell>
          <cell r="B13">
            <v>4</v>
          </cell>
          <cell r="C13">
            <v>49903860.659999974</v>
          </cell>
          <cell r="D13">
            <v>50079733.350000113</v>
          </cell>
          <cell r="E13">
            <v>51563972.079999991</v>
          </cell>
          <cell r="F13">
            <v>57254796.989999995</v>
          </cell>
        </row>
        <row r="14">
          <cell r="A14" t="str">
            <v>SU014</v>
          </cell>
          <cell r="B14">
            <v>4</v>
          </cell>
          <cell r="C14">
            <v>84719909.35999991</v>
          </cell>
          <cell r="D14">
            <v>90865549.490000084</v>
          </cell>
          <cell r="E14">
            <v>98186699.060000181</v>
          </cell>
          <cell r="F14">
            <v>102996548.13</v>
          </cell>
        </row>
        <row r="15">
          <cell r="A15" t="str">
            <v>SU015</v>
          </cell>
          <cell r="B15">
            <v>4</v>
          </cell>
          <cell r="C15">
            <v>88694109.380000278</v>
          </cell>
          <cell r="D15">
            <v>97011802.929999799</v>
          </cell>
          <cell r="E15">
            <v>98399516.989999995</v>
          </cell>
          <cell r="F15">
            <v>114582571.80999994</v>
          </cell>
        </row>
        <row r="16">
          <cell r="A16" t="str">
            <v>SU016</v>
          </cell>
          <cell r="B16">
            <v>4</v>
          </cell>
          <cell r="C16">
            <v>54314795.169999972</v>
          </cell>
          <cell r="D16">
            <v>54174285.469999962</v>
          </cell>
          <cell r="E16">
            <v>57318021.529999964</v>
          </cell>
          <cell r="F16">
            <v>64531291.180000007</v>
          </cell>
        </row>
        <row r="17">
          <cell r="A17" t="str">
            <v>SU017</v>
          </cell>
          <cell r="B17">
            <v>1</v>
          </cell>
          <cell r="C17">
            <v>25652571.629999999</v>
          </cell>
          <cell r="D17">
            <v>41644379</v>
          </cell>
          <cell r="E17">
            <v>50779172</v>
          </cell>
          <cell r="F17">
            <v>37005683.879999995</v>
          </cell>
        </row>
        <row r="18">
          <cell r="A18" t="str">
            <v>SU019</v>
          </cell>
          <cell r="B18">
            <v>1</v>
          </cell>
          <cell r="C18">
            <v>10501059.190000005</v>
          </cell>
          <cell r="D18">
            <v>10331686.16</v>
          </cell>
          <cell r="E18">
            <v>14132036.900000004</v>
          </cell>
          <cell r="F18">
            <v>13469026.889999995</v>
          </cell>
        </row>
        <row r="19">
          <cell r="A19" t="str">
            <v>SU020</v>
          </cell>
          <cell r="B19">
            <v>3</v>
          </cell>
          <cell r="C19">
            <v>41164596.789999962</v>
          </cell>
          <cell r="D19">
            <v>43601674.149999909</v>
          </cell>
          <cell r="E19">
            <v>47390342.289999999</v>
          </cell>
          <cell r="F19">
            <v>50336447.180000015</v>
          </cell>
        </row>
        <row r="20">
          <cell r="A20" t="str">
            <v>SU021</v>
          </cell>
          <cell r="B20">
            <v>3</v>
          </cell>
          <cell r="C20">
            <v>40517911.029999919</v>
          </cell>
          <cell r="D20">
            <v>38444901.659999974</v>
          </cell>
          <cell r="E20">
            <v>43601804.289999969</v>
          </cell>
          <cell r="F20">
            <v>49073312.569999993</v>
          </cell>
        </row>
        <row r="21">
          <cell r="A21" t="str">
            <v>SU022</v>
          </cell>
          <cell r="B21">
            <v>3</v>
          </cell>
          <cell r="C21">
            <v>37368840.280000016</v>
          </cell>
          <cell r="D21">
            <v>38361377.700000033</v>
          </cell>
          <cell r="E21">
            <v>38515697.960000016</v>
          </cell>
          <cell r="F21">
            <v>44803173.209999956</v>
          </cell>
        </row>
        <row r="22">
          <cell r="A22" t="str">
            <v>SU023</v>
          </cell>
          <cell r="B22">
            <v>4</v>
          </cell>
          <cell r="C22">
            <v>55501310.009999968</v>
          </cell>
          <cell r="D22">
            <v>59904507.56000004</v>
          </cell>
          <cell r="E22">
            <v>61172189.410000004</v>
          </cell>
          <cell r="F22">
            <v>66092393.88000007</v>
          </cell>
        </row>
        <row r="23">
          <cell r="A23" t="str">
            <v>SU024</v>
          </cell>
          <cell r="B23">
            <v>1</v>
          </cell>
          <cell r="C23">
            <v>23276374.859999985</v>
          </cell>
          <cell r="D23">
            <v>22588162.320000023</v>
          </cell>
          <cell r="E23">
            <v>23969895.470000006</v>
          </cell>
          <cell r="F23">
            <v>24761149.279999986</v>
          </cell>
        </row>
        <row r="24">
          <cell r="A24" t="str">
            <v>SU025</v>
          </cell>
          <cell r="B24">
            <v>3</v>
          </cell>
          <cell r="C24">
            <v>39956019.330000006</v>
          </cell>
          <cell r="D24">
            <v>41101898.059999973</v>
          </cell>
          <cell r="E24">
            <v>43177614.710000016</v>
          </cell>
          <cell r="F24">
            <v>49234838.729999892</v>
          </cell>
        </row>
        <row r="25">
          <cell r="A25" t="str">
            <v>SU026</v>
          </cell>
          <cell r="B25">
            <v>3</v>
          </cell>
          <cell r="C25">
            <v>32356078.539999962</v>
          </cell>
          <cell r="D25">
            <v>31585245.360000014</v>
          </cell>
          <cell r="E25">
            <v>36407766.38000001</v>
          </cell>
          <cell r="F25">
            <v>39079092.429999955</v>
          </cell>
        </row>
        <row r="26">
          <cell r="A26" t="str">
            <v>SU027</v>
          </cell>
          <cell r="B26">
            <v>3</v>
          </cell>
          <cell r="C26">
            <v>46233447.849999957</v>
          </cell>
          <cell r="D26">
            <v>43456269.639999919</v>
          </cell>
          <cell r="E26">
            <v>45361837.570000038</v>
          </cell>
          <cell r="F26">
            <v>51482788.720000014</v>
          </cell>
        </row>
        <row r="27">
          <cell r="A27" t="str">
            <v>SU028</v>
          </cell>
          <cell r="B27">
            <v>1</v>
          </cell>
          <cell r="C27">
            <v>19587407.500000004</v>
          </cell>
          <cell r="D27">
            <v>20839091.859999992</v>
          </cell>
          <cell r="E27">
            <v>22895703.530000005</v>
          </cell>
          <cell r="F27">
            <v>25481093.719999991</v>
          </cell>
        </row>
        <row r="28">
          <cell r="A28" t="str">
            <v>SU030</v>
          </cell>
          <cell r="B28">
            <v>2</v>
          </cell>
          <cell r="C28">
            <v>37914776.770000018</v>
          </cell>
          <cell r="D28">
            <v>39256342.430000074</v>
          </cell>
          <cell r="E28">
            <v>39819303.370000124</v>
          </cell>
          <cell r="F28">
            <v>42057351.390000001</v>
          </cell>
        </row>
        <row r="29">
          <cell r="A29" t="str">
            <v>SU031</v>
          </cell>
          <cell r="B29">
            <v>4</v>
          </cell>
          <cell r="C29">
            <v>64692460.219999924</v>
          </cell>
          <cell r="D29">
            <v>72098148.700000033</v>
          </cell>
          <cell r="E29">
            <v>74944883.640000001</v>
          </cell>
          <cell r="F29">
            <v>73041252.069999978</v>
          </cell>
        </row>
        <row r="30">
          <cell r="A30" t="str">
            <v>SU032</v>
          </cell>
          <cell r="B30">
            <v>3</v>
          </cell>
          <cell r="C30">
            <v>37199439.700000003</v>
          </cell>
          <cell r="D30">
            <v>44128297.240000024</v>
          </cell>
          <cell r="E30">
            <v>40305761.269999981</v>
          </cell>
          <cell r="F30">
            <v>42132692.550000034</v>
          </cell>
        </row>
        <row r="31">
          <cell r="A31" t="str">
            <v>SU033</v>
          </cell>
          <cell r="B31">
            <v>1</v>
          </cell>
          <cell r="C31">
            <v>23175538.750000019</v>
          </cell>
          <cell r="D31">
            <v>18660221.529999994</v>
          </cell>
          <cell r="E31">
            <v>20693606.839999985</v>
          </cell>
          <cell r="F31">
            <v>21116595.460000016</v>
          </cell>
        </row>
        <row r="32">
          <cell r="A32" t="str">
            <v>SU034</v>
          </cell>
          <cell r="B32">
            <v>2</v>
          </cell>
          <cell r="C32">
            <v>31456103.159999959</v>
          </cell>
          <cell r="D32">
            <v>26280233.129999947</v>
          </cell>
          <cell r="E32">
            <v>28507497.079999987</v>
          </cell>
          <cell r="F32">
            <v>30825320.72000001</v>
          </cell>
        </row>
        <row r="33">
          <cell r="A33" t="str">
            <v>SU035</v>
          </cell>
          <cell r="B33">
            <v>1</v>
          </cell>
          <cell r="C33">
            <v>28901002.450000029</v>
          </cell>
          <cell r="D33">
            <v>29496098.849999975</v>
          </cell>
          <cell r="E33">
            <v>30620385.489999961</v>
          </cell>
          <cell r="F33">
            <v>31512448.749999993</v>
          </cell>
        </row>
        <row r="34">
          <cell r="A34" t="str">
            <v>SU036</v>
          </cell>
          <cell r="B34">
            <v>3</v>
          </cell>
          <cell r="C34">
            <v>31966792.529999953</v>
          </cell>
          <cell r="D34">
            <v>38828490.210000113</v>
          </cell>
          <cell r="E34">
            <v>35693061.340000004</v>
          </cell>
          <cell r="F34">
            <v>39387084.759999916</v>
          </cell>
        </row>
        <row r="35">
          <cell r="A35" t="str">
            <v>SU040</v>
          </cell>
          <cell r="B35">
            <v>3</v>
          </cell>
          <cell r="C35">
            <v>47167833.670000084</v>
          </cell>
          <cell r="D35">
            <v>47686010.489400022</v>
          </cell>
          <cell r="E35">
            <v>49264870.579999916</v>
          </cell>
          <cell r="F35">
            <v>53965903.810000047</v>
          </cell>
        </row>
        <row r="36">
          <cell r="A36" t="str">
            <v>SU042</v>
          </cell>
          <cell r="B36">
            <v>3</v>
          </cell>
          <cell r="C36">
            <v>40392655.709999956</v>
          </cell>
          <cell r="D36">
            <v>42898504.910000004</v>
          </cell>
          <cell r="E36">
            <v>44867097.820000149</v>
          </cell>
          <cell r="F36">
            <v>49032527.889999926</v>
          </cell>
        </row>
        <row r="37">
          <cell r="A37" t="str">
            <v>SU046</v>
          </cell>
          <cell r="B37">
            <v>1</v>
          </cell>
          <cell r="C37">
            <v>28813155.940000001</v>
          </cell>
          <cell r="D37">
            <v>29993658.889999956</v>
          </cell>
          <cell r="E37">
            <v>31270812.760000013</v>
          </cell>
          <cell r="F37">
            <v>31988890.430000018</v>
          </cell>
        </row>
        <row r="38">
          <cell r="A38" t="str">
            <v>SU047</v>
          </cell>
          <cell r="B38">
            <v>2</v>
          </cell>
          <cell r="C38">
            <v>32670471.490000054</v>
          </cell>
          <cell r="D38">
            <v>33330354.789999969</v>
          </cell>
          <cell r="E38">
            <v>32329999.260000043</v>
          </cell>
          <cell r="F38">
            <v>36923171.410000041</v>
          </cell>
        </row>
        <row r="39">
          <cell r="A39" t="str">
            <v>SU048</v>
          </cell>
          <cell r="B39">
            <v>4</v>
          </cell>
          <cell r="C39">
            <v>65901106</v>
          </cell>
          <cell r="D39">
            <v>68159458</v>
          </cell>
          <cell r="E39">
            <v>75479568</v>
          </cell>
          <cell r="F39">
            <v>82490875</v>
          </cell>
        </row>
        <row r="40">
          <cell r="A40" t="str">
            <v>SU049</v>
          </cell>
          <cell r="B40">
            <v>1</v>
          </cell>
          <cell r="C40">
            <v>17785638.829999991</v>
          </cell>
          <cell r="D40">
            <v>15758987.619999977</v>
          </cell>
          <cell r="E40">
            <v>18914875.999999989</v>
          </cell>
          <cell r="F40">
            <v>21365428.609999996</v>
          </cell>
        </row>
        <row r="41">
          <cell r="A41" t="str">
            <v>SU051</v>
          </cell>
          <cell r="B41">
            <v>2</v>
          </cell>
          <cell r="C41">
            <v>22819357.140000012</v>
          </cell>
          <cell r="D41">
            <v>23585171.260000028</v>
          </cell>
          <cell r="E41">
            <v>27272258.46000002</v>
          </cell>
          <cell r="F41">
            <v>29883889.269999966</v>
          </cell>
        </row>
        <row r="42">
          <cell r="A42" t="str">
            <v>SU052</v>
          </cell>
          <cell r="B42">
            <v>2</v>
          </cell>
          <cell r="C42">
            <v>34373838.960000023</v>
          </cell>
          <cell r="D42">
            <v>33762893.930000015</v>
          </cell>
          <cell r="E42">
            <v>34936718.14000006</v>
          </cell>
          <cell r="F42">
            <v>38781430.290000089</v>
          </cell>
        </row>
        <row r="43">
          <cell r="A43" t="str">
            <v>SU054</v>
          </cell>
          <cell r="B43">
            <v>3</v>
          </cell>
          <cell r="C43">
            <v>34342726</v>
          </cell>
          <cell r="D43">
            <v>36129446</v>
          </cell>
          <cell r="E43">
            <v>37715048.473000057</v>
          </cell>
          <cell r="F43">
            <v>35763684.180000015</v>
          </cell>
        </row>
        <row r="44">
          <cell r="A44" t="str">
            <v>SU055</v>
          </cell>
          <cell r="B44">
            <v>1</v>
          </cell>
          <cell r="C44">
            <v>12607751</v>
          </cell>
          <cell r="D44">
            <v>13343415.039999995</v>
          </cell>
          <cell r="E44">
            <v>13707498.760000007</v>
          </cell>
          <cell r="F44">
            <v>15360799.779999992</v>
          </cell>
        </row>
        <row r="45">
          <cell r="A45" t="str">
            <v>SU056</v>
          </cell>
          <cell r="B45">
            <v>2</v>
          </cell>
          <cell r="C45">
            <v>31304328.350000016</v>
          </cell>
          <cell r="D45">
            <v>35410698.489999972</v>
          </cell>
          <cell r="E45">
            <v>39435436.360000022</v>
          </cell>
          <cell r="F45">
            <v>45270185.570000038</v>
          </cell>
        </row>
        <row r="46">
          <cell r="A46" t="str">
            <v>SU060</v>
          </cell>
          <cell r="C46">
            <v>10419536</v>
          </cell>
          <cell r="D46">
            <v>9915400.5399999972</v>
          </cell>
        </row>
        <row r="47">
          <cell r="A47" t="str">
            <v>SU061</v>
          </cell>
          <cell r="B47">
            <v>4</v>
          </cell>
          <cell r="C47">
            <v>46267439.699999988</v>
          </cell>
          <cell r="D47">
            <v>51395406.165000066</v>
          </cell>
          <cell r="E47">
            <v>50567192.789999969</v>
          </cell>
          <cell r="F47">
            <v>56592241.750000045</v>
          </cell>
        </row>
        <row r="48">
          <cell r="A48" t="str">
            <v>SU063</v>
          </cell>
          <cell r="B48">
            <v>1</v>
          </cell>
          <cell r="C48">
            <v>25396314.460000001</v>
          </cell>
          <cell r="D48">
            <v>25393328.349999968</v>
          </cell>
          <cell r="E48">
            <v>27948342.49000001</v>
          </cell>
          <cell r="F48">
            <v>30154686.989999987</v>
          </cell>
        </row>
        <row r="49">
          <cell r="A49" t="str">
            <v>SU064</v>
          </cell>
          <cell r="B49">
            <v>1</v>
          </cell>
          <cell r="C49">
            <v>11989917.689999985</v>
          </cell>
          <cell r="D49">
            <v>11813987.499999989</v>
          </cell>
          <cell r="E49">
            <v>13358877.610000007</v>
          </cell>
          <cell r="F49">
            <v>14191430.559999987</v>
          </cell>
        </row>
        <row r="50">
          <cell r="A50" t="str">
            <v>SU065</v>
          </cell>
          <cell r="B50">
            <v>4</v>
          </cell>
          <cell r="C50">
            <v>93288896.419999912</v>
          </cell>
          <cell r="D50">
            <v>81682411.439999938</v>
          </cell>
          <cell r="E50">
            <v>88307752.460000098</v>
          </cell>
          <cell r="F50">
            <v>94817750.76000011</v>
          </cell>
        </row>
        <row r="51">
          <cell r="A51" t="str">
            <v>SU066</v>
          </cell>
          <cell r="B51">
            <v>3</v>
          </cell>
          <cell r="C51">
            <v>38680988.889999978</v>
          </cell>
          <cell r="D51">
            <v>39448973.830000021</v>
          </cell>
          <cell r="E51">
            <v>41425792.410000004</v>
          </cell>
          <cell r="F51">
            <v>44135611.689999968</v>
          </cell>
        </row>
        <row r="52">
          <cell r="A52" t="str">
            <v>SU067</v>
          </cell>
          <cell r="B52">
            <v>2</v>
          </cell>
          <cell r="C52">
            <v>41030668.899999954</v>
          </cell>
          <cell r="D52">
            <v>43657736.240000151</v>
          </cell>
          <cell r="E52">
            <v>43733321.020000026</v>
          </cell>
          <cell r="F52">
            <v>49489922.84999992</v>
          </cell>
        </row>
        <row r="53">
          <cell r="A53" t="str">
            <v>SU068</v>
          </cell>
          <cell r="B53">
            <v>2</v>
          </cell>
          <cell r="C53">
            <v>26771632.780000001</v>
          </cell>
          <cell r="D53">
            <v>26935577.959999982</v>
          </cell>
          <cell r="E53">
            <v>30857983.059999999</v>
          </cell>
          <cell r="F53">
            <v>32104359.650000013</v>
          </cell>
        </row>
        <row r="54">
          <cell r="A54" t="str">
            <v>SU069</v>
          </cell>
          <cell r="B54">
            <v>2</v>
          </cell>
          <cell r="C54">
            <v>27229698.27999999</v>
          </cell>
          <cell r="D54">
            <v>25583965.329999961</v>
          </cell>
          <cell r="E54">
            <v>27267252.709999986</v>
          </cell>
          <cell r="F54">
            <v>29752349.68999999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Chart"/>
      <sheetName val="FY20Pivot"/>
      <sheetName val="FY20"/>
      <sheetName val="FY21Pivot"/>
      <sheetName val="FY21"/>
      <sheetName val="FY22Pivot"/>
      <sheetName val="FY22"/>
      <sheetName val="FY23Pivot"/>
      <sheetName val="FY23"/>
    </sheetNames>
    <sheetDataSet>
      <sheetData sheetId="0">
        <row r="2">
          <cell r="B2" t="str">
            <v>SU Size Group</v>
          </cell>
          <cell r="C2" t="str">
            <v>F20</v>
          </cell>
          <cell r="D2" t="str">
            <v>FY21</v>
          </cell>
          <cell r="E2" t="str">
            <v>FY22</v>
          </cell>
          <cell r="F2" t="str">
            <v>FY23</v>
          </cell>
        </row>
        <row r="3">
          <cell r="A3" t="str">
            <v>SU001</v>
          </cell>
          <cell r="B3">
            <v>3</v>
          </cell>
          <cell r="C3">
            <v>31852417.570000015</v>
          </cell>
          <cell r="D3">
            <v>33867518.710000023</v>
          </cell>
          <cell r="E3">
            <v>34752616.670000009</v>
          </cell>
          <cell r="F3">
            <v>38780542.439999998</v>
          </cell>
        </row>
        <row r="4">
          <cell r="A4" t="str">
            <v>SU002</v>
          </cell>
          <cell r="B4">
            <v>1</v>
          </cell>
          <cell r="C4">
            <v>21530395</v>
          </cell>
          <cell r="D4">
            <v>21715999</v>
          </cell>
          <cell r="E4">
            <v>23960000</v>
          </cell>
          <cell r="F4">
            <v>25687793.320000019</v>
          </cell>
        </row>
        <row r="5">
          <cell r="A5" t="str">
            <v>SU003</v>
          </cell>
          <cell r="B5">
            <v>3</v>
          </cell>
          <cell r="C5">
            <v>36943950.359999977</v>
          </cell>
          <cell r="D5">
            <v>38978733.549999967</v>
          </cell>
          <cell r="E5">
            <v>39540719.010000035</v>
          </cell>
          <cell r="F5">
            <v>43703469.809999995</v>
          </cell>
        </row>
        <row r="6">
          <cell r="A6" t="str">
            <v>SU004</v>
          </cell>
          <cell r="B6">
            <v>2</v>
          </cell>
          <cell r="C6">
            <v>26143723.17000002</v>
          </cell>
          <cell r="D6">
            <v>26940586.679999974</v>
          </cell>
          <cell r="E6">
            <v>32124906.050000031</v>
          </cell>
          <cell r="F6">
            <v>30664634.63000001</v>
          </cell>
        </row>
        <row r="7">
          <cell r="A7" t="str">
            <v>SU005</v>
          </cell>
          <cell r="B7">
            <v>4</v>
          </cell>
          <cell r="C7">
            <v>64286532.769999929</v>
          </cell>
          <cell r="D7">
            <v>63517170.590000018</v>
          </cell>
          <cell r="E7">
            <v>79218157.490000114</v>
          </cell>
          <cell r="F7">
            <v>84086466.200000077</v>
          </cell>
        </row>
        <row r="8">
          <cell r="A8" t="str">
            <v>SU006</v>
          </cell>
          <cell r="B8">
            <v>2</v>
          </cell>
          <cell r="C8">
            <v>49831799.960000023</v>
          </cell>
          <cell r="D8">
            <v>51077064.329999939</v>
          </cell>
          <cell r="E8">
            <v>53359342.609999932</v>
          </cell>
          <cell r="F8">
            <v>54493918.520000063</v>
          </cell>
        </row>
        <row r="9">
          <cell r="A9" t="str">
            <v>SU007</v>
          </cell>
          <cell r="B9">
            <v>4</v>
          </cell>
          <cell r="C9">
            <v>40910767.590000071</v>
          </cell>
          <cell r="D9">
            <v>43816380.100000061</v>
          </cell>
          <cell r="E9">
            <v>46956951.009999983</v>
          </cell>
          <cell r="F9">
            <v>50671944.939999945</v>
          </cell>
        </row>
        <row r="10">
          <cell r="A10" t="str">
            <v>SU009</v>
          </cell>
          <cell r="B10">
            <v>2</v>
          </cell>
          <cell r="C10">
            <v>36409938</v>
          </cell>
          <cell r="D10">
            <v>38979526</v>
          </cell>
          <cell r="E10">
            <v>38904004</v>
          </cell>
          <cell r="F10">
            <v>41407946</v>
          </cell>
        </row>
        <row r="11">
          <cell r="A11" t="str">
            <v>SU010</v>
          </cell>
          <cell r="B11">
            <v>3</v>
          </cell>
          <cell r="C11">
            <v>31480090.670000006</v>
          </cell>
          <cell r="D11">
            <v>29875640.369999964</v>
          </cell>
          <cell r="E11">
            <v>32395188.090000015</v>
          </cell>
          <cell r="F11">
            <v>34623438.849999942</v>
          </cell>
        </row>
        <row r="12">
          <cell r="A12" t="str">
            <v>SU011</v>
          </cell>
          <cell r="B12">
            <v>1</v>
          </cell>
          <cell r="C12">
            <v>22489128.160000008</v>
          </cell>
          <cell r="D12">
            <v>26363125.339999985</v>
          </cell>
          <cell r="E12">
            <v>28617265.359999996</v>
          </cell>
          <cell r="F12">
            <v>29885531.360000011</v>
          </cell>
        </row>
        <row r="13">
          <cell r="A13" t="str">
            <v>SU012</v>
          </cell>
          <cell r="B13">
            <v>4</v>
          </cell>
          <cell r="C13">
            <v>48377788.259999961</v>
          </cell>
          <cell r="D13">
            <v>48380832.350000091</v>
          </cell>
          <cell r="E13">
            <v>49553626.610000007</v>
          </cell>
          <cell r="F13">
            <v>54902745.429999985</v>
          </cell>
        </row>
        <row r="14">
          <cell r="A14" t="str">
            <v>SU014</v>
          </cell>
          <cell r="B14">
            <v>4</v>
          </cell>
          <cell r="C14">
            <v>81124749.319999903</v>
          </cell>
          <cell r="D14">
            <v>84545334.030000165</v>
          </cell>
          <cell r="E14">
            <v>88962088.930000022</v>
          </cell>
          <cell r="F14">
            <v>91984550.609999985</v>
          </cell>
        </row>
        <row r="15">
          <cell r="A15" t="str">
            <v>SU015</v>
          </cell>
          <cell r="B15">
            <v>4</v>
          </cell>
          <cell r="C15">
            <v>80319002.570000201</v>
          </cell>
          <cell r="D15">
            <v>89975561.779999793</v>
          </cell>
          <cell r="E15">
            <v>93068346.190000057</v>
          </cell>
          <cell r="F15">
            <v>96355298.979999945</v>
          </cell>
        </row>
        <row r="16">
          <cell r="A16" t="str">
            <v>SU016</v>
          </cell>
          <cell r="B16">
            <v>4</v>
          </cell>
          <cell r="C16">
            <v>50926923.969999969</v>
          </cell>
          <cell r="D16">
            <v>51597617.989999942</v>
          </cell>
          <cell r="E16">
            <v>55413657.139999948</v>
          </cell>
          <cell r="F16">
            <v>59186692.449999996</v>
          </cell>
        </row>
        <row r="17">
          <cell r="A17" t="str">
            <v>SU017</v>
          </cell>
          <cell r="B17">
            <v>1</v>
          </cell>
          <cell r="C17">
            <v>20424372.629999999</v>
          </cell>
          <cell r="D17">
            <v>21054761</v>
          </cell>
          <cell r="E17">
            <v>27765592</v>
          </cell>
          <cell r="F17">
            <v>27036038.879999999</v>
          </cell>
        </row>
        <row r="18">
          <cell r="A18" t="str">
            <v>SU019</v>
          </cell>
          <cell r="B18">
            <v>1</v>
          </cell>
          <cell r="C18">
            <v>10501059.190000005</v>
          </cell>
          <cell r="D18">
            <v>10331686.16</v>
          </cell>
          <cell r="E18">
            <v>13752052.800000004</v>
          </cell>
          <cell r="F18">
            <v>13391094.889999995</v>
          </cell>
        </row>
        <row r="19">
          <cell r="A19" t="str">
            <v>SU020</v>
          </cell>
          <cell r="B19">
            <v>3</v>
          </cell>
          <cell r="C19">
            <v>40454851.269999981</v>
          </cell>
          <cell r="D19">
            <v>42142316.259999901</v>
          </cell>
          <cell r="E19">
            <v>47080037.940000005</v>
          </cell>
          <cell r="F19">
            <v>49958024.000000007</v>
          </cell>
        </row>
        <row r="20">
          <cell r="A20" t="str">
            <v>SU021</v>
          </cell>
          <cell r="B20">
            <v>3</v>
          </cell>
          <cell r="C20">
            <v>36351453.639999934</v>
          </cell>
          <cell r="D20">
            <v>36890811.739999987</v>
          </cell>
          <cell r="E20">
            <v>39776570.879999988</v>
          </cell>
          <cell r="F20">
            <v>44002755.659999974</v>
          </cell>
        </row>
        <row r="21">
          <cell r="A21" t="str">
            <v>SU022</v>
          </cell>
          <cell r="B21">
            <v>3</v>
          </cell>
          <cell r="C21">
            <v>35352037.960000038</v>
          </cell>
          <cell r="D21">
            <v>36682688.500000015</v>
          </cell>
          <cell r="E21">
            <v>37524916.060000025</v>
          </cell>
          <cell r="F21">
            <v>41681322.049999945</v>
          </cell>
        </row>
        <row r="22">
          <cell r="A22" t="str">
            <v>SU023</v>
          </cell>
          <cell r="B22">
            <v>4</v>
          </cell>
          <cell r="C22">
            <v>52129542.169999942</v>
          </cell>
          <cell r="D22">
            <v>53817791.500000067</v>
          </cell>
          <cell r="E22">
            <v>58598013.399999984</v>
          </cell>
          <cell r="F22">
            <v>63407394.470000036</v>
          </cell>
        </row>
        <row r="23">
          <cell r="A23" t="str">
            <v>SU024</v>
          </cell>
          <cell r="B23">
            <v>1</v>
          </cell>
          <cell r="C23">
            <v>23063906.399999984</v>
          </cell>
          <cell r="D23">
            <v>16189599.32</v>
          </cell>
          <cell r="E23">
            <v>23104052.650000002</v>
          </cell>
          <cell r="F23">
            <v>24399534.399999984</v>
          </cell>
        </row>
        <row r="24">
          <cell r="A24" t="str">
            <v>SU025</v>
          </cell>
          <cell r="B24">
            <v>3</v>
          </cell>
          <cell r="C24">
            <v>38116843.410000004</v>
          </cell>
          <cell r="D24">
            <v>39111091.249999993</v>
          </cell>
          <cell r="E24">
            <v>41648763.489999987</v>
          </cell>
          <cell r="F24">
            <v>47460361.639999941</v>
          </cell>
        </row>
        <row r="25">
          <cell r="A25" t="str">
            <v>SU026</v>
          </cell>
          <cell r="B25">
            <v>3</v>
          </cell>
          <cell r="C25">
            <v>30811457.829999968</v>
          </cell>
          <cell r="D25">
            <v>30590698.57</v>
          </cell>
          <cell r="E25">
            <v>34832413.480000004</v>
          </cell>
          <cell r="F25">
            <v>37218043.36999999</v>
          </cell>
        </row>
        <row r="26">
          <cell r="A26" t="str">
            <v>SU027</v>
          </cell>
          <cell r="B26">
            <v>3</v>
          </cell>
          <cell r="C26">
            <v>44514806.819999963</v>
          </cell>
          <cell r="D26">
            <v>41792399.509999916</v>
          </cell>
          <cell r="E26">
            <v>43878358.810000002</v>
          </cell>
          <cell r="F26">
            <v>50120869.759999998</v>
          </cell>
        </row>
        <row r="27">
          <cell r="A27" t="str">
            <v>SU028</v>
          </cell>
          <cell r="B27">
            <v>1</v>
          </cell>
          <cell r="C27">
            <v>18843196.500000011</v>
          </cell>
          <cell r="D27">
            <v>20133893.989999998</v>
          </cell>
          <cell r="E27">
            <v>21930338.79000001</v>
          </cell>
          <cell r="F27">
            <v>24619396.919999998</v>
          </cell>
        </row>
        <row r="28">
          <cell r="A28" t="str">
            <v>SU030</v>
          </cell>
          <cell r="B28">
            <v>2</v>
          </cell>
          <cell r="C28">
            <v>36827153.43</v>
          </cell>
          <cell r="D28">
            <v>37630551.630000018</v>
          </cell>
          <cell r="E28">
            <v>38530593.820000105</v>
          </cell>
          <cell r="F28">
            <v>40069096.130000003</v>
          </cell>
        </row>
        <row r="29">
          <cell r="A29" t="str">
            <v>SU031</v>
          </cell>
          <cell r="B29">
            <v>4</v>
          </cell>
          <cell r="C29">
            <v>62238235.169999905</v>
          </cell>
          <cell r="D29">
            <v>69857830.440000057</v>
          </cell>
          <cell r="E29">
            <v>73077760.640000001</v>
          </cell>
          <cell r="F29">
            <v>71007609.069999963</v>
          </cell>
        </row>
        <row r="30">
          <cell r="A30" t="str">
            <v>SU032</v>
          </cell>
          <cell r="B30">
            <v>3</v>
          </cell>
          <cell r="C30">
            <v>33166714.020000018</v>
          </cell>
          <cell r="D30">
            <v>39778980.270000033</v>
          </cell>
          <cell r="E30">
            <v>37096531.789999992</v>
          </cell>
          <cell r="F30">
            <v>37656708.31000001</v>
          </cell>
        </row>
        <row r="31">
          <cell r="A31" t="str">
            <v>SU033</v>
          </cell>
          <cell r="B31">
            <v>1</v>
          </cell>
          <cell r="C31">
            <v>18937781.050000019</v>
          </cell>
          <cell r="D31">
            <v>18636723.529999994</v>
          </cell>
          <cell r="E31">
            <v>20507468.32999998</v>
          </cell>
          <cell r="F31">
            <v>20813725.320000011</v>
          </cell>
        </row>
        <row r="32">
          <cell r="A32" t="str">
            <v>SU034</v>
          </cell>
          <cell r="B32">
            <v>2</v>
          </cell>
          <cell r="C32">
            <v>30171151.149999972</v>
          </cell>
          <cell r="D32">
            <v>24512458.719999965</v>
          </cell>
          <cell r="E32">
            <v>26603773.120000001</v>
          </cell>
          <cell r="F32">
            <v>28787286.92000002</v>
          </cell>
        </row>
        <row r="33">
          <cell r="A33" t="str">
            <v>SU035</v>
          </cell>
          <cell r="B33">
            <v>1</v>
          </cell>
          <cell r="C33">
            <v>28743119.070000023</v>
          </cell>
          <cell r="D33">
            <v>29413534.909999944</v>
          </cell>
          <cell r="E33">
            <v>30493258.689999972</v>
          </cell>
          <cell r="F33">
            <v>30795410.469999999</v>
          </cell>
        </row>
        <row r="34">
          <cell r="A34" t="str">
            <v>SU036</v>
          </cell>
          <cell r="B34">
            <v>3</v>
          </cell>
          <cell r="C34">
            <v>30603959.02999996</v>
          </cell>
          <cell r="D34">
            <v>37151075.460000083</v>
          </cell>
          <cell r="E34">
            <v>34520750.300000012</v>
          </cell>
          <cell r="F34">
            <v>37953190.749999918</v>
          </cell>
        </row>
        <row r="35">
          <cell r="A35" t="str">
            <v>SU040</v>
          </cell>
          <cell r="B35">
            <v>3</v>
          </cell>
          <cell r="C35">
            <v>46027455.380000085</v>
          </cell>
          <cell r="D35">
            <v>47686010.489400007</v>
          </cell>
          <cell r="E35">
            <v>49264870.579999916</v>
          </cell>
          <cell r="F35">
            <v>53965903.810000047</v>
          </cell>
        </row>
        <row r="36">
          <cell r="A36" t="str">
            <v>SU042</v>
          </cell>
          <cell r="B36">
            <v>3</v>
          </cell>
          <cell r="C36">
            <v>39171871.379999958</v>
          </cell>
          <cell r="D36">
            <v>42153723.12000002</v>
          </cell>
          <cell r="E36">
            <v>44164032.650000162</v>
          </cell>
          <cell r="F36">
            <v>47418809.549999915</v>
          </cell>
        </row>
        <row r="37">
          <cell r="A37" t="str">
            <v>SU046</v>
          </cell>
          <cell r="B37">
            <v>1</v>
          </cell>
          <cell r="C37">
            <v>28025214.260000002</v>
          </cell>
          <cell r="D37">
            <v>29924475.689999975</v>
          </cell>
          <cell r="E37">
            <v>31215199.570000008</v>
          </cell>
          <cell r="F37">
            <v>31738457.030000012</v>
          </cell>
        </row>
        <row r="38">
          <cell r="A38" t="str">
            <v>SU047</v>
          </cell>
          <cell r="B38">
            <v>2</v>
          </cell>
          <cell r="C38">
            <v>31625455.559999969</v>
          </cell>
          <cell r="D38">
            <v>31452116.48999995</v>
          </cell>
          <cell r="E38">
            <v>30797815.510000028</v>
          </cell>
          <cell r="F38">
            <v>35912285.230000027</v>
          </cell>
        </row>
        <row r="39">
          <cell r="A39" t="str">
            <v>SU048</v>
          </cell>
          <cell r="B39">
            <v>4</v>
          </cell>
          <cell r="C39">
            <v>65335585</v>
          </cell>
          <cell r="D39">
            <v>67488214</v>
          </cell>
          <cell r="E39">
            <v>74795567</v>
          </cell>
          <cell r="F39">
            <v>82108971</v>
          </cell>
        </row>
        <row r="40">
          <cell r="A40" t="str">
            <v>SU049</v>
          </cell>
          <cell r="B40">
            <v>1</v>
          </cell>
          <cell r="C40">
            <v>17309644.710000023</v>
          </cell>
          <cell r="D40">
            <v>15653070.969999986</v>
          </cell>
          <cell r="E40">
            <v>18433533.969999984</v>
          </cell>
          <cell r="F40">
            <v>20841459.270000007</v>
          </cell>
        </row>
        <row r="41">
          <cell r="A41" t="str">
            <v>SU051</v>
          </cell>
          <cell r="B41">
            <v>2</v>
          </cell>
          <cell r="C41">
            <v>22793233.569999993</v>
          </cell>
          <cell r="D41">
            <v>23571064.880000025</v>
          </cell>
          <cell r="E41">
            <v>27272258.460000023</v>
          </cell>
          <cell r="F41">
            <v>29501040.269999973</v>
          </cell>
        </row>
        <row r="42">
          <cell r="A42" t="str">
            <v>SU052</v>
          </cell>
          <cell r="B42">
            <v>2</v>
          </cell>
          <cell r="C42">
            <v>32087166.610000014</v>
          </cell>
          <cell r="D42">
            <v>32145960.930000033</v>
          </cell>
          <cell r="E42">
            <v>32931434.940000035</v>
          </cell>
          <cell r="F42">
            <v>37165811.409999989</v>
          </cell>
        </row>
        <row r="43">
          <cell r="A43" t="str">
            <v>SU054</v>
          </cell>
          <cell r="B43">
            <v>3</v>
          </cell>
          <cell r="C43">
            <v>30918863</v>
          </cell>
          <cell r="D43">
            <v>32647728</v>
          </cell>
          <cell r="E43">
            <v>33762392.122999996</v>
          </cell>
          <cell r="F43">
            <v>35763684.18</v>
          </cell>
        </row>
        <row r="44">
          <cell r="A44" t="str">
            <v>SU055</v>
          </cell>
          <cell r="B44">
            <v>1</v>
          </cell>
          <cell r="C44">
            <v>12377299</v>
          </cell>
          <cell r="D44">
            <v>13343415.039999995</v>
          </cell>
          <cell r="E44">
            <v>13584537.710000001</v>
          </cell>
          <cell r="F44">
            <v>15360799.780000001</v>
          </cell>
        </row>
        <row r="45">
          <cell r="A45" t="str">
            <v>SU056</v>
          </cell>
          <cell r="B45">
            <v>2</v>
          </cell>
          <cell r="C45">
            <v>28902005.330000028</v>
          </cell>
          <cell r="D45">
            <v>32606674.009999972</v>
          </cell>
          <cell r="E45">
            <v>34670067.000000015</v>
          </cell>
          <cell r="F45">
            <v>40586467.659999914</v>
          </cell>
        </row>
        <row r="46">
          <cell r="A46" t="str">
            <v>SU060</v>
          </cell>
          <cell r="C46">
            <v>9970407</v>
          </cell>
          <cell r="D46">
            <v>9546134.4899999984</v>
          </cell>
        </row>
        <row r="47">
          <cell r="A47" t="str">
            <v>SU061</v>
          </cell>
          <cell r="B47">
            <v>4</v>
          </cell>
          <cell r="C47">
            <v>45126054.529999986</v>
          </cell>
          <cell r="D47">
            <v>50584240.945000045</v>
          </cell>
          <cell r="E47">
            <v>49108969.009999946</v>
          </cell>
          <cell r="F47">
            <v>54576259.740000017</v>
          </cell>
        </row>
        <row r="48">
          <cell r="A48" t="str">
            <v>SU063</v>
          </cell>
          <cell r="B48">
            <v>1</v>
          </cell>
          <cell r="C48">
            <v>25132007.960000001</v>
          </cell>
          <cell r="D48">
            <v>25322826.419999972</v>
          </cell>
          <cell r="E48">
            <v>27831096.09</v>
          </cell>
          <cell r="F48">
            <v>29850769.310000014</v>
          </cell>
        </row>
        <row r="49">
          <cell r="A49" t="str">
            <v>SU064</v>
          </cell>
          <cell r="B49">
            <v>1</v>
          </cell>
          <cell r="C49">
            <v>11743194.839999981</v>
          </cell>
          <cell r="D49">
            <v>11578243.079999987</v>
          </cell>
          <cell r="E49">
            <v>13055227.860000001</v>
          </cell>
          <cell r="F49">
            <v>13792469.819999985</v>
          </cell>
        </row>
        <row r="50">
          <cell r="A50" t="str">
            <v>SU065</v>
          </cell>
          <cell r="B50">
            <v>4</v>
          </cell>
          <cell r="C50">
            <v>89908605.959999919</v>
          </cell>
          <cell r="D50">
            <v>78093651.460000038</v>
          </cell>
          <cell r="E50">
            <v>83956865.330000103</v>
          </cell>
          <cell r="F50">
            <v>90320683.12000002</v>
          </cell>
        </row>
        <row r="51">
          <cell r="A51" t="str">
            <v>SU066</v>
          </cell>
          <cell r="B51">
            <v>3</v>
          </cell>
          <cell r="C51">
            <v>37930725.149999984</v>
          </cell>
          <cell r="D51">
            <v>38757919.559999987</v>
          </cell>
          <cell r="E51">
            <v>40370652.550000019</v>
          </cell>
          <cell r="F51">
            <v>42936488.389999956</v>
          </cell>
        </row>
        <row r="52">
          <cell r="A52" t="str">
            <v>SU067</v>
          </cell>
          <cell r="B52">
            <v>2</v>
          </cell>
          <cell r="C52">
            <v>39937520.579999961</v>
          </cell>
          <cell r="D52">
            <v>42257744.460000113</v>
          </cell>
          <cell r="E52">
            <v>41447269.520000033</v>
          </cell>
          <cell r="F52">
            <v>48587806.930000022</v>
          </cell>
        </row>
        <row r="53">
          <cell r="A53" t="str">
            <v>SU068</v>
          </cell>
          <cell r="B53">
            <v>2</v>
          </cell>
          <cell r="C53">
            <v>26012359.920000006</v>
          </cell>
          <cell r="D53">
            <v>26237639.219999991</v>
          </cell>
          <cell r="E53">
            <v>30022206.249999996</v>
          </cell>
          <cell r="F53">
            <v>31108572.690000013</v>
          </cell>
        </row>
        <row r="54">
          <cell r="A54" t="str">
            <v>SU069</v>
          </cell>
          <cell r="B54">
            <v>2</v>
          </cell>
          <cell r="C54">
            <v>23063085.609999981</v>
          </cell>
          <cell r="D54">
            <v>24176633.15999997</v>
          </cell>
          <cell r="E54">
            <v>25618938.980000012</v>
          </cell>
          <cell r="F54">
            <v>27875562.129999992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Chart"/>
      <sheetName val="FY20Pivot"/>
      <sheetName val="FY20"/>
      <sheetName val="FY21Pivot"/>
      <sheetName val="FY21"/>
      <sheetName val="FY22Pivot"/>
      <sheetName val="FY22"/>
      <sheetName val="FY23Pivot"/>
      <sheetName val="FY23"/>
    </sheetNames>
    <sheetDataSet>
      <sheetData sheetId="0">
        <row r="3">
          <cell r="A3" t="str">
            <v>SU001</v>
          </cell>
          <cell r="B3">
            <v>3</v>
          </cell>
          <cell r="C3">
            <v>29444250.280000001</v>
          </cell>
          <cell r="D3">
            <v>29506105.699999984</v>
          </cell>
          <cell r="E3">
            <v>29766368.069999978</v>
          </cell>
          <cell r="F3">
            <v>32473913.129999965</v>
          </cell>
        </row>
        <row r="4">
          <cell r="A4" t="str">
            <v>SU002</v>
          </cell>
          <cell r="B4">
            <v>1</v>
          </cell>
          <cell r="C4">
            <v>19215096</v>
          </cell>
          <cell r="D4">
            <v>18840222</v>
          </cell>
          <cell r="E4">
            <v>20615811</v>
          </cell>
          <cell r="F4">
            <v>21547943.360000018</v>
          </cell>
        </row>
        <row r="5">
          <cell r="A5" t="str">
            <v>SU003</v>
          </cell>
          <cell r="B5">
            <v>3</v>
          </cell>
          <cell r="C5">
            <v>33811174.850000039</v>
          </cell>
          <cell r="D5">
            <v>35258552.349999979</v>
          </cell>
          <cell r="E5">
            <v>35471825.620000005</v>
          </cell>
          <cell r="F5">
            <v>38527739.819999985</v>
          </cell>
        </row>
        <row r="6">
          <cell r="A6" t="str">
            <v>SU004</v>
          </cell>
          <cell r="B6">
            <v>2</v>
          </cell>
          <cell r="C6">
            <v>23619687.78000002</v>
          </cell>
          <cell r="D6">
            <v>23352981.789999973</v>
          </cell>
          <cell r="E6">
            <v>25516407.040000025</v>
          </cell>
          <cell r="F6">
            <v>25986272.400000025</v>
          </cell>
        </row>
        <row r="7">
          <cell r="A7" t="str">
            <v>SU005</v>
          </cell>
          <cell r="B7">
            <v>4</v>
          </cell>
          <cell r="C7">
            <v>54168474.039999925</v>
          </cell>
          <cell r="D7">
            <v>52320967.640000001</v>
          </cell>
          <cell r="E7">
            <v>65870090.960000053</v>
          </cell>
          <cell r="F7">
            <v>67852038.61999999</v>
          </cell>
        </row>
        <row r="8">
          <cell r="A8" t="str">
            <v>SU006</v>
          </cell>
          <cell r="B8">
            <v>2</v>
          </cell>
          <cell r="C8">
            <v>47520512.93000003</v>
          </cell>
          <cell r="D8">
            <v>47263768.759999953</v>
          </cell>
          <cell r="E8">
            <v>49563210.259999923</v>
          </cell>
          <cell r="F8">
            <v>49607379.070000038</v>
          </cell>
        </row>
        <row r="9">
          <cell r="A9" t="str">
            <v>SU007</v>
          </cell>
          <cell r="B9">
            <v>4</v>
          </cell>
          <cell r="C9">
            <v>38802931.050000057</v>
          </cell>
          <cell r="D9">
            <v>40513426.57000003</v>
          </cell>
          <cell r="E9">
            <v>43596716.119999975</v>
          </cell>
          <cell r="F9">
            <v>46640020.409999967</v>
          </cell>
        </row>
        <row r="10">
          <cell r="A10" t="str">
            <v>SU009</v>
          </cell>
          <cell r="B10">
            <v>2</v>
          </cell>
          <cell r="C10">
            <v>34523215</v>
          </cell>
          <cell r="D10">
            <v>36483196</v>
          </cell>
          <cell r="E10">
            <v>34905341</v>
          </cell>
          <cell r="F10">
            <v>35961641</v>
          </cell>
        </row>
        <row r="11">
          <cell r="A11" t="str">
            <v>SU010</v>
          </cell>
          <cell r="B11">
            <v>3</v>
          </cell>
          <cell r="C11">
            <v>28721939.100000013</v>
          </cell>
          <cell r="D11">
            <v>27330894.93999999</v>
          </cell>
          <cell r="E11">
            <v>29840762.269999981</v>
          </cell>
          <cell r="F11">
            <v>31392298.12999991</v>
          </cell>
        </row>
        <row r="12">
          <cell r="A12" t="str">
            <v>SU011</v>
          </cell>
          <cell r="B12">
            <v>1</v>
          </cell>
          <cell r="C12">
            <v>20750510.47000001</v>
          </cell>
          <cell r="D12">
            <v>23911152.27999999</v>
          </cell>
          <cell r="E12">
            <v>25301042.299999993</v>
          </cell>
          <cell r="F12">
            <v>25324649.700000007</v>
          </cell>
        </row>
        <row r="13">
          <cell r="A13" t="str">
            <v>SU012</v>
          </cell>
          <cell r="B13">
            <v>4</v>
          </cell>
          <cell r="C13">
            <v>46559923.189999945</v>
          </cell>
          <cell r="D13">
            <v>45301139.019999981</v>
          </cell>
          <cell r="E13">
            <v>47594600.910000026</v>
          </cell>
          <cell r="F13">
            <v>52198503.970000006</v>
          </cell>
        </row>
        <row r="14">
          <cell r="A14" t="str">
            <v>SU014</v>
          </cell>
          <cell r="B14">
            <v>4</v>
          </cell>
          <cell r="C14">
            <v>76758320.310000002</v>
          </cell>
          <cell r="D14">
            <v>77437669.130000085</v>
          </cell>
          <cell r="E14">
            <v>83601809.069999918</v>
          </cell>
          <cell r="F14">
            <v>86473845.150000006</v>
          </cell>
        </row>
        <row r="15">
          <cell r="A15" t="str">
            <v>SU015</v>
          </cell>
          <cell r="B15">
            <v>4</v>
          </cell>
          <cell r="C15">
            <v>73057402.200000063</v>
          </cell>
          <cell r="D15">
            <v>74990300.059999868</v>
          </cell>
          <cell r="E15">
            <v>79745588.329999954</v>
          </cell>
          <cell r="F15">
            <v>82341917.23999995</v>
          </cell>
        </row>
        <row r="16">
          <cell r="A16" t="str">
            <v>SU016</v>
          </cell>
          <cell r="B16">
            <v>4</v>
          </cell>
          <cell r="C16">
            <v>49108042.939999983</v>
          </cell>
          <cell r="D16">
            <v>48230243.049999952</v>
          </cell>
          <cell r="E16">
            <v>52030951.119999915</v>
          </cell>
          <cell r="F16">
            <v>56224216.480000019</v>
          </cell>
        </row>
        <row r="17">
          <cell r="A17" t="str">
            <v>SU017</v>
          </cell>
          <cell r="B17">
            <v>1</v>
          </cell>
          <cell r="C17">
            <v>16531516.630000001</v>
          </cell>
          <cell r="D17">
            <v>17147402</v>
          </cell>
          <cell r="E17">
            <v>18331403</v>
          </cell>
          <cell r="F17">
            <v>21938981.879999999</v>
          </cell>
        </row>
        <row r="18">
          <cell r="A18" t="str">
            <v>SU019</v>
          </cell>
          <cell r="B18">
            <v>1</v>
          </cell>
          <cell r="C18">
            <v>8418381.2299999986</v>
          </cell>
          <cell r="D18">
            <v>9389598.9399999995</v>
          </cell>
          <cell r="E18">
            <v>9505586.1799999997</v>
          </cell>
          <cell r="F18">
            <v>12599466.99</v>
          </cell>
        </row>
        <row r="19">
          <cell r="A19" t="str">
            <v>SU020</v>
          </cell>
          <cell r="B19">
            <v>3</v>
          </cell>
          <cell r="C19">
            <v>37135872.410000019</v>
          </cell>
          <cell r="D19">
            <v>36066697.36999993</v>
          </cell>
          <cell r="E19">
            <v>40323768.849999994</v>
          </cell>
          <cell r="F19">
            <v>42494631.800000064</v>
          </cell>
        </row>
        <row r="20">
          <cell r="A20" t="str">
            <v>SU021</v>
          </cell>
          <cell r="B20">
            <v>3</v>
          </cell>
          <cell r="C20">
            <v>32617342.439999994</v>
          </cell>
          <cell r="D20">
            <v>31744045.190000009</v>
          </cell>
          <cell r="E20">
            <v>32871795.919999994</v>
          </cell>
          <cell r="F20">
            <v>36078484.979999997</v>
          </cell>
        </row>
        <row r="21">
          <cell r="A21" t="str">
            <v>SU022</v>
          </cell>
          <cell r="B21">
            <v>3</v>
          </cell>
          <cell r="C21">
            <v>33987699.00000003</v>
          </cell>
          <cell r="D21">
            <v>35141590.650000028</v>
          </cell>
          <cell r="E21">
            <v>35561754.250000007</v>
          </cell>
          <cell r="F21">
            <v>38961898.039999992</v>
          </cell>
        </row>
        <row r="22">
          <cell r="A22" t="str">
            <v>SU023</v>
          </cell>
          <cell r="B22">
            <v>4</v>
          </cell>
          <cell r="C22">
            <v>48741184.639999956</v>
          </cell>
          <cell r="D22">
            <v>49760274.890000068</v>
          </cell>
          <cell r="E22">
            <v>52109353.490000039</v>
          </cell>
          <cell r="F22">
            <v>54222235.800000064</v>
          </cell>
        </row>
        <row r="23">
          <cell r="A23" t="str">
            <v>SU024</v>
          </cell>
          <cell r="B23">
            <v>1</v>
          </cell>
          <cell r="C23">
            <v>22028446.07</v>
          </cell>
          <cell r="D23">
            <v>14923473.539999997</v>
          </cell>
          <cell r="E23">
            <v>21228035.629999999</v>
          </cell>
          <cell r="F23">
            <v>22328516.159999963</v>
          </cell>
        </row>
        <row r="24">
          <cell r="A24" t="str">
            <v>SU025</v>
          </cell>
          <cell r="B24">
            <v>3</v>
          </cell>
          <cell r="C24">
            <v>33866472.889999978</v>
          </cell>
          <cell r="D24">
            <v>35900086.620000042</v>
          </cell>
          <cell r="E24">
            <v>36829303.909999996</v>
          </cell>
          <cell r="F24">
            <v>40464317.980000049</v>
          </cell>
        </row>
        <row r="25">
          <cell r="A25" t="str">
            <v>SU026</v>
          </cell>
          <cell r="B25">
            <v>3</v>
          </cell>
          <cell r="C25">
            <v>28718189.099999964</v>
          </cell>
          <cell r="D25">
            <v>27410478.09</v>
          </cell>
          <cell r="E25">
            <v>30426997.289999988</v>
          </cell>
          <cell r="F25">
            <v>32844719.670000002</v>
          </cell>
        </row>
        <row r="26">
          <cell r="A26" t="str">
            <v>SU027</v>
          </cell>
          <cell r="B26">
            <v>3</v>
          </cell>
          <cell r="C26">
            <v>41939499.469999947</v>
          </cell>
          <cell r="D26">
            <v>38217825.67999994</v>
          </cell>
          <cell r="E26">
            <v>40177610.120000042</v>
          </cell>
          <cell r="F26">
            <v>43691875.490000077</v>
          </cell>
        </row>
        <row r="27">
          <cell r="A27" t="str">
            <v>SU028</v>
          </cell>
          <cell r="B27">
            <v>1</v>
          </cell>
          <cell r="C27">
            <v>16521640.770000011</v>
          </cell>
          <cell r="D27">
            <v>17739837.980000012</v>
          </cell>
          <cell r="E27">
            <v>19555969.519999981</v>
          </cell>
          <cell r="F27">
            <v>20124808.17000002</v>
          </cell>
        </row>
        <row r="28">
          <cell r="A28" t="str">
            <v>SU030</v>
          </cell>
          <cell r="B28">
            <v>2</v>
          </cell>
          <cell r="C28">
            <v>26405518.089999992</v>
          </cell>
          <cell r="D28">
            <v>34086334.139999963</v>
          </cell>
          <cell r="E28">
            <v>33789553.790000066</v>
          </cell>
          <cell r="F28">
            <v>35119007.88000004</v>
          </cell>
        </row>
        <row r="29">
          <cell r="A29" t="str">
            <v>SU031</v>
          </cell>
          <cell r="B29">
            <v>4</v>
          </cell>
          <cell r="C29">
            <v>59520901.949999943</v>
          </cell>
          <cell r="D29">
            <v>56470753.150000028</v>
          </cell>
          <cell r="E29">
            <v>67006853.330000028</v>
          </cell>
          <cell r="F29">
            <v>62988634.719999969</v>
          </cell>
        </row>
        <row r="30">
          <cell r="A30" t="str">
            <v>SU032</v>
          </cell>
          <cell r="B30">
            <v>3</v>
          </cell>
          <cell r="C30">
            <v>31594626.989999995</v>
          </cell>
          <cell r="D30">
            <v>33355959.510000028</v>
          </cell>
          <cell r="E30">
            <v>34856977.439999975</v>
          </cell>
          <cell r="F30">
            <v>34780342.540000007</v>
          </cell>
        </row>
        <row r="31">
          <cell r="A31" t="str">
            <v>SU033</v>
          </cell>
          <cell r="B31">
            <v>1</v>
          </cell>
          <cell r="C31">
            <v>16514716.220000004</v>
          </cell>
          <cell r="D31">
            <v>16448608.909999985</v>
          </cell>
          <cell r="E31">
            <v>17332989.540000003</v>
          </cell>
          <cell r="F31">
            <v>17554536.010000002</v>
          </cell>
        </row>
        <row r="32">
          <cell r="A32" t="str">
            <v>SU034</v>
          </cell>
          <cell r="B32">
            <v>2</v>
          </cell>
          <cell r="C32">
            <v>17564645.400000013</v>
          </cell>
          <cell r="D32">
            <v>15938675.909999998</v>
          </cell>
          <cell r="E32">
            <v>16717068.98</v>
          </cell>
          <cell r="F32">
            <v>16895145.229999986</v>
          </cell>
        </row>
        <row r="33">
          <cell r="A33" t="str">
            <v>SU035</v>
          </cell>
          <cell r="B33">
            <v>1</v>
          </cell>
          <cell r="C33">
            <v>26059742.500000011</v>
          </cell>
          <cell r="D33">
            <v>25773395.370000001</v>
          </cell>
          <cell r="E33">
            <v>26284545.670000013</v>
          </cell>
          <cell r="F33">
            <v>26079936.239999998</v>
          </cell>
        </row>
        <row r="34">
          <cell r="A34" t="str">
            <v>SU036</v>
          </cell>
          <cell r="B34">
            <v>3</v>
          </cell>
          <cell r="C34">
            <v>27169481.700000055</v>
          </cell>
          <cell r="D34">
            <v>32115508.630000003</v>
          </cell>
          <cell r="E34">
            <v>29387425.010000005</v>
          </cell>
          <cell r="F34">
            <v>31925578.73999998</v>
          </cell>
        </row>
        <row r="35">
          <cell r="A35" t="str">
            <v>SU040</v>
          </cell>
          <cell r="B35">
            <v>3</v>
          </cell>
          <cell r="C35">
            <v>40324651.280000024</v>
          </cell>
          <cell r="D35">
            <v>39550772.060000032</v>
          </cell>
          <cell r="E35">
            <v>41009621.629999965</v>
          </cell>
          <cell r="F35">
            <v>42627919.530000016</v>
          </cell>
        </row>
        <row r="36">
          <cell r="A36" t="str">
            <v>SU042</v>
          </cell>
          <cell r="B36">
            <v>3</v>
          </cell>
          <cell r="C36">
            <v>35485200.209999964</v>
          </cell>
          <cell r="D36">
            <v>38080717.729999997</v>
          </cell>
          <cell r="E36">
            <v>38952284.990000032</v>
          </cell>
          <cell r="F36">
            <v>42213532.320000008</v>
          </cell>
        </row>
        <row r="37">
          <cell r="A37" t="str">
            <v>SU046</v>
          </cell>
          <cell r="B37">
            <v>1</v>
          </cell>
          <cell r="C37">
            <v>25608034.920000017</v>
          </cell>
          <cell r="D37">
            <v>26572827.529999964</v>
          </cell>
          <cell r="E37">
            <v>27107338.800000016</v>
          </cell>
          <cell r="F37">
            <v>27732311.319999963</v>
          </cell>
        </row>
        <row r="38">
          <cell r="A38" t="str">
            <v>SU047</v>
          </cell>
          <cell r="B38">
            <v>2</v>
          </cell>
          <cell r="C38">
            <v>26710725.240000039</v>
          </cell>
          <cell r="D38">
            <v>27087925.219999984</v>
          </cell>
          <cell r="E38">
            <v>24493956.609999973</v>
          </cell>
          <cell r="F38">
            <v>27061738.99000001</v>
          </cell>
        </row>
        <row r="39">
          <cell r="A39" t="str">
            <v>SU048</v>
          </cell>
          <cell r="B39">
            <v>4</v>
          </cell>
          <cell r="C39">
            <v>57341484</v>
          </cell>
          <cell r="D39">
            <v>57670427</v>
          </cell>
          <cell r="E39">
            <v>62688535</v>
          </cell>
          <cell r="F39">
            <v>66990878</v>
          </cell>
        </row>
        <row r="40">
          <cell r="A40" t="str">
            <v>SU049</v>
          </cell>
          <cell r="B40">
            <v>1</v>
          </cell>
          <cell r="C40">
            <v>15756586.15000001</v>
          </cell>
          <cell r="D40">
            <v>14412616.129999986</v>
          </cell>
          <cell r="E40">
            <v>16609572.629999992</v>
          </cell>
          <cell r="F40">
            <v>18863956.989999995</v>
          </cell>
        </row>
        <row r="41">
          <cell r="A41" t="str">
            <v>SU051</v>
          </cell>
          <cell r="B41">
            <v>2</v>
          </cell>
          <cell r="C41">
            <v>21628719.109999992</v>
          </cell>
          <cell r="D41">
            <v>21373629.519999992</v>
          </cell>
          <cell r="E41">
            <v>23774674.66000003</v>
          </cell>
          <cell r="F41">
            <v>25511103.50999999</v>
          </cell>
        </row>
        <row r="42">
          <cell r="A42" t="str">
            <v>SU052</v>
          </cell>
          <cell r="B42">
            <v>2</v>
          </cell>
          <cell r="C42">
            <v>29328114.530000012</v>
          </cell>
          <cell r="D42">
            <v>28007943.740000032</v>
          </cell>
          <cell r="E42">
            <v>29611639.399999999</v>
          </cell>
          <cell r="F42">
            <v>32264777.050000004</v>
          </cell>
        </row>
        <row r="43">
          <cell r="A43" t="str">
            <v>SU054</v>
          </cell>
          <cell r="B43">
            <v>3</v>
          </cell>
          <cell r="C43">
            <v>29807442</v>
          </cell>
          <cell r="D43">
            <v>30153463</v>
          </cell>
          <cell r="E43">
            <v>31620207.793000039</v>
          </cell>
          <cell r="F43">
            <v>32907552</v>
          </cell>
        </row>
        <row r="44">
          <cell r="A44" t="str">
            <v>SU055</v>
          </cell>
          <cell r="B44">
            <v>1</v>
          </cell>
          <cell r="C44">
            <v>12182559</v>
          </cell>
          <cell r="D44">
            <v>12672615.579999998</v>
          </cell>
          <cell r="E44">
            <v>13273130.35</v>
          </cell>
          <cell r="F44">
            <v>14949836.359999999</v>
          </cell>
        </row>
        <row r="45">
          <cell r="A45" t="str">
            <v>SU056</v>
          </cell>
          <cell r="B45">
            <v>2</v>
          </cell>
          <cell r="C45">
            <v>26477220.490000013</v>
          </cell>
          <cell r="D45">
            <v>26939298.989999987</v>
          </cell>
          <cell r="E45">
            <v>29478847.790000018</v>
          </cell>
          <cell r="F45">
            <v>29754734.570000034</v>
          </cell>
        </row>
        <row r="46">
          <cell r="A46" t="str">
            <v>SU060</v>
          </cell>
          <cell r="C46">
            <v>7514849</v>
          </cell>
          <cell r="D46">
            <v>6971141.5699999966</v>
          </cell>
        </row>
        <row r="47">
          <cell r="A47" t="str">
            <v>SU061</v>
          </cell>
          <cell r="B47">
            <v>4</v>
          </cell>
          <cell r="C47">
            <v>40437691.719999962</v>
          </cell>
          <cell r="D47">
            <v>40668164.365000032</v>
          </cell>
          <cell r="E47">
            <v>42689647.359999977</v>
          </cell>
          <cell r="F47">
            <v>46378753.280000001</v>
          </cell>
        </row>
        <row r="48">
          <cell r="A48" t="str">
            <v>SU063</v>
          </cell>
          <cell r="B48">
            <v>1</v>
          </cell>
          <cell r="C48">
            <v>23323037.320000026</v>
          </cell>
          <cell r="D48">
            <v>22640527.689999949</v>
          </cell>
          <cell r="E48">
            <v>24533623.019999977</v>
          </cell>
          <cell r="F48">
            <v>25660108.139999993</v>
          </cell>
        </row>
        <row r="49">
          <cell r="A49" t="str">
            <v>SU064</v>
          </cell>
          <cell r="B49">
            <v>1</v>
          </cell>
          <cell r="C49">
            <v>10910050.239999996</v>
          </cell>
          <cell r="D49">
            <v>10739001.630000001</v>
          </cell>
          <cell r="E49">
            <v>11668158.030000012</v>
          </cell>
          <cell r="F49">
            <v>12479457.020000009</v>
          </cell>
        </row>
        <row r="50">
          <cell r="A50" t="str">
            <v>SU065</v>
          </cell>
          <cell r="B50">
            <v>4</v>
          </cell>
          <cell r="C50">
            <v>86901979.180000111</v>
          </cell>
          <cell r="D50">
            <v>73746669.479999915</v>
          </cell>
          <cell r="E50">
            <v>78400789.689999923</v>
          </cell>
          <cell r="F50">
            <v>83100080.150000021</v>
          </cell>
        </row>
        <row r="51">
          <cell r="A51" t="str">
            <v>SU066</v>
          </cell>
          <cell r="B51">
            <v>3</v>
          </cell>
          <cell r="C51">
            <v>33660701.640000008</v>
          </cell>
          <cell r="D51">
            <v>33585274.440000013</v>
          </cell>
          <cell r="E51">
            <v>35091025.030000009</v>
          </cell>
          <cell r="F51">
            <v>38491209.899999946</v>
          </cell>
        </row>
        <row r="52">
          <cell r="A52" t="str">
            <v>SU067</v>
          </cell>
          <cell r="B52">
            <v>2</v>
          </cell>
          <cell r="C52">
            <v>35765162.29999999</v>
          </cell>
          <cell r="D52">
            <v>36111364.990000039</v>
          </cell>
          <cell r="E52">
            <v>35762289.859999962</v>
          </cell>
          <cell r="F52">
            <v>39964418.760000028</v>
          </cell>
        </row>
        <row r="53">
          <cell r="A53" t="str">
            <v>SU068</v>
          </cell>
          <cell r="B53">
            <v>2</v>
          </cell>
          <cell r="C53">
            <v>23884128.809999991</v>
          </cell>
          <cell r="D53">
            <v>24045932.039999984</v>
          </cell>
          <cell r="E53">
            <v>26395931.129999995</v>
          </cell>
          <cell r="F53">
            <v>28080922.930000015</v>
          </cell>
        </row>
        <row r="54">
          <cell r="A54" t="str">
            <v>SU069</v>
          </cell>
          <cell r="B54">
            <v>2</v>
          </cell>
          <cell r="C54">
            <v>22134443.139999997</v>
          </cell>
          <cell r="D54">
            <v>22446959.659999996</v>
          </cell>
          <cell r="E54">
            <v>23976149.339999989</v>
          </cell>
          <cell r="F54">
            <v>25767920.269999996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manda Brown" id="{CFCE1463-87AD-3947-BE3A-6B33CE8D9C24}" userId="S::ARB@apaconsulting.net::22e6ff9b-c60e-4345-995b-e30071d9dc24" providerId="AD"/>
</personList>
</file>

<file path=xl/theme/theme1.xml><?xml version="1.0" encoding="utf-8"?>
<a:theme xmlns:a="http://schemas.openxmlformats.org/drawingml/2006/main" name="Office Theme">
  <a:themeElements>
    <a:clrScheme name="VT AOE">
      <a:dk1>
        <a:srgbClr val="000000"/>
      </a:dk1>
      <a:lt1>
        <a:srgbClr val="FFFFFF"/>
      </a:lt1>
      <a:dk2>
        <a:srgbClr val="007935"/>
      </a:dk2>
      <a:lt2>
        <a:srgbClr val="FFFFFF"/>
      </a:lt2>
      <a:accent1>
        <a:srgbClr val="007935"/>
      </a:accent1>
      <a:accent2>
        <a:srgbClr val="294635"/>
      </a:accent2>
      <a:accent3>
        <a:srgbClr val="004A88"/>
      </a:accent3>
      <a:accent4>
        <a:srgbClr val="EE7624"/>
      </a:accent4>
      <a:accent5>
        <a:srgbClr val="3DB5E6"/>
      </a:accent5>
      <a:accent6>
        <a:srgbClr val="B12029"/>
      </a:accent6>
      <a:hlink>
        <a:srgbClr val="0563C1"/>
      </a:hlink>
      <a:folHlink>
        <a:srgbClr val="00B0F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4-11-15T17:27:50.98" personId="{CFCE1463-87AD-3947-BE3A-6B33CE8D9C24}" id="{ED5F9085-E3CB-2947-987E-CFF498B74CD1}">
    <text>Corrected enrollment figures; also to clarify, total enrollment includes students enrolled in SU schools</text>
  </threadedComment>
  <threadedComment ref="J1" dT="2024-11-15T17:27:57.89" personId="{CFCE1463-87AD-3947-BE3A-6B33CE8D9C24}" id="{493BEA25-F416-D04F-A6AC-CCC3E9A52101}">
    <text>Corrected enrollment figures; also corrected report template error that was showing total enrollment in place of prek enrollment in a table</text>
  </threadedComment>
  <threadedComment ref="N1" dT="2024-11-15T17:28:02.34" personId="{CFCE1463-87AD-3947-BE3A-6B33CE8D9C24}" id="{7EBC0E78-9669-764D-9BED-AD21115E14C0}">
    <text>Corrected enrollment figures</text>
  </threadedComment>
  <threadedComment ref="R1" dT="2024-11-15T17:29:17.32" personId="{CFCE1463-87AD-3947-BE3A-6B33CE8D9C24}" id="{D272DA84-5EB7-C24E-9C8E-63B2D541F464}">
    <text>Updated reports will show/explain enrollment (students enrolled in SU schools) vs. single year adm (students SU is repsonsible for) vs. long term adm (2-year average + state placed) vs. equalized/weighted (how the funding formula treated students at the time)</text>
  </threadedComment>
  <threadedComment ref="V1" dT="2024-11-15T17:29:26.60" personId="{CFCE1463-87AD-3947-BE3A-6B33CE8D9C24}" id="{9BD55EDB-3F34-3045-A37D-24AD277374D2}">
    <text>Updated reports will show/explain enrollment vs. single year adm vs. long term adm vs. equalized/weighted</text>
  </threadedComment>
  <threadedComment ref="AM1" dT="2024-11-15T16:22:49.71" personId="{CFCE1463-87AD-3947-BE3A-6B33CE8D9C24}" id="{1296E280-4655-E546-BDCC-D21DA9416502}">
    <text>Updated to use ADM as the denominator, as SpEd counts include students tuitioned out</text>
  </threadedComment>
  <threadedComment ref="AQ1" dT="2024-11-15T16:23:31.80" personId="{CFCE1463-87AD-3947-BE3A-6B33CE8D9C24}" id="{31D12F87-6FA8-8447-8974-2E9FC15303BE}">
    <text>% have not changed, but in the revised SU/SD reports, blanks will show up as supressed and not 0%</text>
  </threadedComment>
  <threadedComment ref="BK1" dT="2024-11-15T16:24:30.76" personId="{CFCE1463-87AD-3947-BE3A-6B33CE8D9C24}" id="{FDAE298D-9F88-7D47-BC31-70B531719B99}">
    <text>updated to use revised enrollment figures excluding prek enrollment; excluding CTE center staff and prek staff</text>
  </threadedComment>
  <threadedComment ref="BO1" dT="2024-11-15T16:24:53.67" personId="{CFCE1463-87AD-3947-BE3A-6B33CE8D9C24}" id="{3145E163-4621-BB44-AAEE-B2074169772D}">
    <text>updated to use revised enrollment figures excluding prek enrollment; excluding CTE center staff and prek staff</text>
  </threadedComment>
  <threadedComment ref="BS1" dT="2024-11-15T16:25:23.59" personId="{CFCE1463-87AD-3947-BE3A-6B33CE8D9C24}" id="{EB6770AA-E24E-C945-AD29-E7F0D42B708C}">
    <text>updated to use revised enrollment figures excluding prek enrollment; excluding CTE center staff and prek staff</text>
  </threadedComment>
  <threadedComment ref="BW1" dT="2024-11-15T16:25:31.37" personId="{CFCE1463-87AD-3947-BE3A-6B33CE8D9C24}" id="{6ACE4F13-7AE0-2844-AB7B-273E7BCA8131}">
    <text>updated to use revised enrollment figures excluding prek enrollment; excluding CTE center staff and prek staff</text>
  </threadedComment>
  <threadedComment ref="CA1" dT="2024-11-15T17:09:41.63" personId="{CFCE1463-87AD-3947-BE3A-6B33CE8D9C24}" id="{872CDE20-6958-E842-9971-01EE58A1ACF0}">
    <text>excluding CTE center staff and prek staff</text>
  </threadedComment>
  <threadedComment ref="CE1" dT="2024-11-15T17:09:58.29" personId="{CFCE1463-87AD-3947-BE3A-6B33CE8D9C24}" id="{7B4F30B6-A842-0A45-AE0B-08DF484A2E47}">
    <text>excluding CTE center staff and prek staff</text>
  </threadedComment>
  <threadedComment ref="CI1" dT="2024-11-15T17:10:04.85" personId="{CFCE1463-87AD-3947-BE3A-6B33CE8D9C24}" id="{75DD5126-B2BC-6842-ADF1-D69196CFEA9D}">
    <text>excluding CTE center staff and prek staff</text>
  </threadedComment>
  <threadedComment ref="CM1" dT="2024-11-15T17:10:10.61" personId="{CFCE1463-87AD-3947-BE3A-6B33CE8D9C24}" id="{62192CA9-B5B5-9345-AA47-A931B0F6A1F9}">
    <text>excluding CTE center staff and prek staff</text>
  </threadedComment>
  <threadedComment ref="CQ1" dT="2024-11-15T16:26:45.27" personId="{CFCE1463-87AD-3947-BE3A-6B33CE8D9C24}" id="{BDB55B97-E18B-AC4B-8148-3E35934D2AD4}">
    <text>Data has not changed, but SU/SD reports will be updated as there was a template error that was inverting 4-year and 6-year data in some places</text>
  </threadedComment>
  <threadedComment ref="EF1" dT="2024-11-15T16:28:02.36" personId="{CFCE1463-87AD-3947-BE3A-6B33CE8D9C24}" id="{C6EB83B7-BD65-D74E-B184-E0DBA4A5D861}">
    <text>Adjustments based on request to buisness managers, will be excluded from total expenditures, ongoing expenditures and general fund expenditures</text>
  </threadedComment>
  <threadedComment ref="EJ1" dT="2024-11-15T16:28:12.44" personId="{CFCE1463-87AD-3947-BE3A-6B33CE8D9C24}" id="{C26406EF-D408-B74D-BF63-18840C05AAFB}">
    <text>Adjustments based on request to buisness managers, will be excluded from total expenditures, ongoing expenditures and general fund expenditures</text>
  </threadedComment>
  <threadedComment ref="EN1" dT="2024-11-15T16:28:22.40" personId="{CFCE1463-87AD-3947-BE3A-6B33CE8D9C24}" id="{49B9DF5B-55BC-4A49-8597-FA54844A445D}">
    <text>Adjustments based on request to buisness managers, will be excluded from total expenditures, ongoing expenditures and general fund expenditures</text>
  </threadedComment>
  <threadedComment ref="ER1" dT="2024-11-15T16:28:28.51" personId="{CFCE1463-87AD-3947-BE3A-6B33CE8D9C24}" id="{C5051323-2831-D248-9D65-5F590D709388}">
    <text>Adjustments based on request to buisness managers, will be excluded from total expenditures, ongoing expenditures and general fund expenditures</text>
  </threadedComment>
  <threadedComment ref="EV1" dT="2024-11-15T16:29:26.48" personId="{CFCE1463-87AD-3947-BE3A-6B33CE8D9C24}" id="{5ACA41BC-318A-8F40-AA06-B5EBC3E3ABBE}">
    <text>Using statbook data and “recipe cards” for exclusions, less additional duplication adjustments in columns to the left</text>
  </threadedComment>
  <threadedComment ref="FD1" dT="2024-11-15T16:29:40.63" personId="{CFCE1463-87AD-3947-BE3A-6B33CE8D9C24}" id="{BD13A636-BCF4-2140-9553-FD403A84AAC2}">
    <text>Using statbook data and “recipe cards” for exclusions, then filtered to just funds 1000-2799, less additional duplicative exp. adjustments in columns to the left</text>
  </threadedComment>
  <threadedComment ref="FL1" dT="2024-11-15T16:30:15.83" personId="{CFCE1463-87AD-3947-BE3A-6B33CE8D9C24}" id="{05BC1F4C-AE16-F14F-8C10-E92122DC7133}">
    <text>Using statbook data and “recipe cards” for exclusions, then filtered to just funds 1000-1999, less additional duplicative exp. adjustments in columns to the left</text>
  </threadedComment>
  <threadedComment ref="FT1" dT="2024-11-15T16:30:15.83" personId="{CFCE1463-87AD-3947-BE3A-6B33CE8D9C24}" id="{441BF844-B824-CD45-8422-903206B39998}">
    <text>Using statbook data and “recipe cards” for exclusions, then filtered to just sped expenditures (programs 20-29), less additional duplicate exp. in 598 only</text>
  </threadedComment>
  <threadedComment ref="EV48" dT="2024-11-15T17:39:30.50" personId="{CFCE1463-87AD-3947-BE3A-6B33CE8D9C24}" id="{A8E0A0F9-CFA7-2D41-9EA4-CAE3C24BCF61}">
    <text>applying provided percentage</text>
  </threadedComment>
  <threadedComment ref="EW48" dT="2024-11-15T17:39:39.20" personId="{CFCE1463-87AD-3947-BE3A-6B33CE8D9C24}" id="{255B9EA5-F320-B947-BFBB-0DDA55B91FAB}">
    <text>applying provided percentage</text>
  </threadedComment>
  <threadedComment ref="EX48" dT="2024-11-15T17:39:44.45" personId="{CFCE1463-87AD-3947-BE3A-6B33CE8D9C24}" id="{A3C412F7-2C5A-4047-A520-5F5CDA6944E5}">
    <text>applying provided percentage</text>
  </threadedComment>
  <threadedComment ref="EY48" dT="2024-11-15T17:39:48.92" personId="{CFCE1463-87AD-3947-BE3A-6B33CE8D9C24}" id="{60AD0242-821D-F148-A1A4-4E1126327493}">
    <text>applying provided percentage</text>
  </threadedComment>
  <threadedComment ref="FD48" dT="2024-11-15T17:39:56.21" personId="{CFCE1463-87AD-3947-BE3A-6B33CE8D9C24}" id="{1A9D03ED-86F1-0A40-B7D9-C6448C68B689}">
    <text>applying provided percentage</text>
  </threadedComment>
  <threadedComment ref="FE48" dT="2024-11-15T17:40:02.96" personId="{CFCE1463-87AD-3947-BE3A-6B33CE8D9C24}" id="{4EA906B4-2F69-7B40-9EDB-B7380A49F2CF}">
    <text>applying provided percentage</text>
  </threadedComment>
  <threadedComment ref="FF48" dT="2024-11-15T17:40:06.89" personId="{CFCE1463-87AD-3947-BE3A-6B33CE8D9C24}" id="{E7670C3C-80C2-A44B-924C-9E5F94279891}">
    <text>applying provided percentage</text>
  </threadedComment>
  <threadedComment ref="FG48" dT="2024-11-15T17:40:10.77" personId="{CFCE1463-87AD-3947-BE3A-6B33CE8D9C24}" id="{E2907136-A944-9F4C-B315-B7468FF8A262}">
    <text>applying provided percentage</text>
  </threadedComment>
  <threadedComment ref="FL48" dT="2024-11-15T17:40:17.90" personId="{CFCE1463-87AD-3947-BE3A-6B33CE8D9C24}" id="{6F055F4F-DAFC-0247-8141-51DF3EC7BF57}">
    <text>applying provided percentage</text>
  </threadedComment>
  <threadedComment ref="FM48" dT="2024-11-15T17:40:21.62" personId="{CFCE1463-87AD-3947-BE3A-6B33CE8D9C24}" id="{666F3162-4C17-2041-B00D-A23B79BE2F8B}">
    <text>applying provided percentage</text>
  </threadedComment>
  <threadedComment ref="FN48" dT="2024-11-15T17:40:26.95" personId="{CFCE1463-87AD-3947-BE3A-6B33CE8D9C24}" id="{5B33C677-CEB1-7F46-A8C9-0468E2DB9B9B}">
    <text>applying provided percentage</text>
  </threadedComment>
  <threadedComment ref="FO48" dT="2024-11-15T17:40:32.51" personId="{CFCE1463-87AD-3947-BE3A-6B33CE8D9C24}" id="{ABCF42CA-33A9-504D-A04B-CCF91C71658B}">
    <text>applying provided percentage</text>
  </threadedComment>
  <threadedComment ref="FT48" dT="2024-11-15T17:42:05.38" personId="{CFCE1463-87AD-3947-BE3A-6B33CE8D9C24}" id="{1A8D96AB-1793-EA45-9225-6606819C6561}">
    <text>applying provided percentage</text>
  </threadedComment>
  <threadedComment ref="FU48" dT="2024-11-15T17:42:10.50" personId="{CFCE1463-87AD-3947-BE3A-6B33CE8D9C24}" id="{E25BF8E3-A152-B74E-B91D-65E2EEA7F905}">
    <text>applying provided percentage</text>
  </threadedComment>
  <threadedComment ref="FV48" dT="2024-11-15T17:42:14.43" personId="{CFCE1463-87AD-3947-BE3A-6B33CE8D9C24}" id="{7DEAAD23-97F9-DF4C-B91F-F22632F3C4FE}">
    <text>applying provided percentage</text>
  </threadedComment>
  <threadedComment ref="FW48" dT="2024-11-15T17:42:18.62" personId="{CFCE1463-87AD-3947-BE3A-6B33CE8D9C24}" id="{BC59628E-7BE7-2747-905A-525409F81722}">
    <text>applying provided percentage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23E2-8E08-4D19-B14F-81A1673D6FAC}">
  <sheetPr codeName="Sheet1"/>
  <dimension ref="A1:GA76"/>
  <sheetViews>
    <sheetView tabSelected="1" zoomScale="108" workbookViewId="0">
      <pane xSplit="4" ySplit="2" topLeftCell="EO3" activePane="bottomRight" state="frozen"/>
      <selection pane="topRight" activeCell="C1" sqref="C1"/>
      <selection pane="bottomLeft" activeCell="A3" sqref="A3"/>
      <selection pane="bottomRight" activeCell="EV16" sqref="EV16"/>
    </sheetView>
  </sheetViews>
  <sheetFormatPr defaultColWidth="8.85546875" defaultRowHeight="15" customHeight="1" x14ac:dyDescent="0.25"/>
  <cols>
    <col min="1" max="1" width="8.85546875" style="63"/>
    <col min="2" max="2" width="25.85546875" style="63" customWidth="1"/>
    <col min="3" max="3" width="8.85546875" style="63"/>
    <col min="4" max="4" width="28.5703125" style="63" customWidth="1"/>
    <col min="5" max="5" width="15" customWidth="1"/>
    <col min="6" max="6" width="12.42578125" style="27" customWidth="1"/>
    <col min="7" max="7" width="10.85546875" style="27" customWidth="1"/>
    <col min="8" max="8" width="15.42578125" style="27" customWidth="1"/>
    <col min="9" max="9" width="10.140625" style="27" customWidth="1"/>
    <col min="10" max="11" width="10.42578125" style="23" customWidth="1"/>
    <col min="12" max="12" width="10.85546875" style="23" customWidth="1"/>
    <col min="13" max="13" width="10.42578125" style="23" customWidth="1"/>
    <col min="14" max="15" width="10.42578125" style="27" customWidth="1"/>
    <col min="16" max="16" width="10.5703125" style="27" customWidth="1"/>
    <col min="17" max="17" width="10.85546875" style="27" customWidth="1"/>
    <col min="18" max="21" width="8.85546875" style="23" bestFit="1" customWidth="1"/>
    <col min="22" max="25" width="8.85546875" style="27" bestFit="1" customWidth="1"/>
    <col min="26" max="29" width="10.5703125" customWidth="1"/>
    <col min="30" max="30" width="11.42578125" customWidth="1"/>
    <col min="31" max="31" width="10.85546875" customWidth="1"/>
    <col min="32" max="32" width="11.140625" customWidth="1"/>
    <col min="33" max="34" width="10.42578125" customWidth="1"/>
    <col min="35" max="35" width="11" customWidth="1"/>
    <col min="36" max="36" width="10.5703125" customWidth="1"/>
    <col min="37" max="37" width="10" customWidth="1"/>
    <col min="38" max="38" width="10.5703125" customWidth="1"/>
    <col min="39" max="39" width="11" style="23" customWidth="1"/>
    <col min="40" max="40" width="10.5703125" style="23" customWidth="1"/>
    <col min="41" max="41" width="10" style="23" customWidth="1"/>
    <col min="42" max="42" width="10.5703125" style="23" customWidth="1"/>
    <col min="43" max="43" width="10" style="27" customWidth="1"/>
    <col min="44" max="45" width="10.140625" style="27" customWidth="1"/>
    <col min="46" max="46" width="10" style="27" customWidth="1"/>
    <col min="47" max="47" width="9.85546875" customWidth="1"/>
    <col min="48" max="48" width="11" customWidth="1"/>
    <col min="49" max="50" width="9.85546875" customWidth="1"/>
    <col min="51" max="51" width="12" customWidth="1"/>
    <col min="52" max="52" width="11.140625" customWidth="1"/>
    <col min="55" max="55" width="11.42578125" customWidth="1"/>
    <col min="56" max="56" width="10.5703125" customWidth="1"/>
    <col min="58" max="58" width="8.5703125" style="3"/>
    <col min="59" max="59" width="12" customWidth="1"/>
    <col min="60" max="60" width="11" customWidth="1"/>
    <col min="61" max="61" width="10.42578125" customWidth="1"/>
    <col min="62" max="62" width="10.42578125" style="3" customWidth="1"/>
    <col min="63" max="66" width="8.85546875" style="23"/>
    <col min="67" max="70" width="8.85546875" style="27"/>
    <col min="71" max="74" width="8.85546875" style="23"/>
    <col min="75" max="78" width="8.85546875" style="27"/>
    <col min="79" max="79" width="10" style="23" bestFit="1" customWidth="1"/>
    <col min="80" max="82" width="9.85546875" style="23" bestFit="1" customWidth="1"/>
    <col min="83" max="85" width="8.85546875" style="27"/>
    <col min="86" max="86" width="10.140625" style="27" bestFit="1" customWidth="1"/>
    <col min="87" max="90" width="8.85546875" style="23"/>
    <col min="91" max="94" width="8.85546875" style="27"/>
    <col min="95" max="95" width="10.5703125" style="5" customWidth="1"/>
    <col min="96" max="102" width="10.5703125" customWidth="1"/>
    <col min="103" max="105" width="12" customWidth="1"/>
    <col min="106" max="106" width="8.85546875" customWidth="1"/>
    <col min="136" max="139" width="11" style="23" customWidth="1"/>
    <col min="140" max="143" width="11" style="27" customWidth="1"/>
    <col min="144" max="147" width="11" style="23" customWidth="1"/>
    <col min="148" max="151" width="11" style="27" customWidth="1"/>
    <col min="152" max="155" width="13.42578125" style="23" customWidth="1"/>
    <col min="156" max="159" width="11.140625" style="27" customWidth="1"/>
    <col min="160" max="163" width="13.42578125" style="23" customWidth="1"/>
    <col min="164" max="164" width="10.42578125" style="27" bestFit="1" customWidth="1"/>
    <col min="165" max="167" width="9.140625" style="27" bestFit="1" customWidth="1"/>
    <col min="168" max="171" width="13.5703125" style="23" bestFit="1" customWidth="1"/>
    <col min="172" max="172" width="10.140625" style="27" bestFit="1" customWidth="1"/>
    <col min="173" max="175" width="8.85546875" style="27"/>
    <col min="176" max="179" width="13.5703125" style="23" bestFit="1" customWidth="1"/>
    <col min="180" max="180" width="10.140625" style="27" bestFit="1" customWidth="1"/>
    <col min="181" max="183" width="8.85546875" style="27"/>
  </cols>
  <sheetData>
    <row r="1" spans="1:183" ht="15" customHeight="1" x14ac:dyDescent="0.25">
      <c r="F1" s="78" t="s">
        <v>0</v>
      </c>
      <c r="G1" s="78"/>
      <c r="H1" s="78"/>
      <c r="I1" s="78"/>
      <c r="J1" s="77" t="s">
        <v>1</v>
      </c>
      <c r="K1" s="77"/>
      <c r="L1" s="77"/>
      <c r="M1" s="77"/>
      <c r="N1" s="78" t="s">
        <v>2</v>
      </c>
      <c r="O1" s="78"/>
      <c r="P1" s="78"/>
      <c r="Q1" s="78"/>
      <c r="R1" s="77" t="s">
        <v>3</v>
      </c>
      <c r="S1" s="77"/>
      <c r="T1" s="77"/>
      <c r="U1" s="77"/>
      <c r="V1" s="78" t="s">
        <v>4</v>
      </c>
      <c r="W1" s="78"/>
      <c r="X1" s="78"/>
      <c r="Y1" s="78"/>
      <c r="Z1" s="80" t="s">
        <v>5</v>
      </c>
      <c r="AA1" s="80"/>
      <c r="AB1" s="80"/>
      <c r="AC1" s="80"/>
      <c r="AD1" s="80" t="s">
        <v>6</v>
      </c>
      <c r="AE1" s="80"/>
      <c r="AF1" s="80"/>
      <c r="AG1" s="80"/>
      <c r="AH1" s="80"/>
      <c r="AI1" s="80" t="s">
        <v>7</v>
      </c>
      <c r="AJ1" s="80"/>
      <c r="AK1" s="80"/>
      <c r="AL1" s="80"/>
      <c r="AM1" s="77" t="s">
        <v>8</v>
      </c>
      <c r="AN1" s="77"/>
      <c r="AO1" s="77"/>
      <c r="AP1" s="77"/>
      <c r="AQ1" s="78" t="s">
        <v>9</v>
      </c>
      <c r="AR1" s="78"/>
      <c r="AS1" s="78"/>
      <c r="AT1" s="78"/>
      <c r="AU1" s="80" t="s">
        <v>10</v>
      </c>
      <c r="AV1" s="80"/>
      <c r="AW1" s="80"/>
      <c r="AX1" s="80"/>
      <c r="AY1" s="80"/>
      <c r="AZ1" s="80"/>
      <c r="BA1" s="80"/>
      <c r="BB1" s="74"/>
      <c r="BC1" s="80" t="s">
        <v>11</v>
      </c>
      <c r="BD1" s="80"/>
      <c r="BE1" s="80"/>
      <c r="BF1" s="80"/>
      <c r="BG1" s="80"/>
      <c r="BH1" s="80"/>
      <c r="BI1" s="80"/>
      <c r="BJ1" s="80"/>
      <c r="BK1" s="75" t="s">
        <v>12</v>
      </c>
      <c r="BL1" s="75"/>
      <c r="BM1" s="75"/>
      <c r="BN1" s="75"/>
      <c r="BO1" s="76" t="s">
        <v>13</v>
      </c>
      <c r="BP1" s="76"/>
      <c r="BQ1" s="76"/>
      <c r="BR1" s="76"/>
      <c r="BS1" s="75" t="s">
        <v>14</v>
      </c>
      <c r="BT1" s="75"/>
      <c r="BU1" s="75"/>
      <c r="BV1" s="75"/>
      <c r="BW1" s="76" t="s">
        <v>15</v>
      </c>
      <c r="BX1" s="76"/>
      <c r="BY1" s="76"/>
      <c r="BZ1" s="76"/>
      <c r="CA1" s="75" t="s">
        <v>16</v>
      </c>
      <c r="CB1" s="75"/>
      <c r="CC1" s="75"/>
      <c r="CD1" s="75"/>
      <c r="CE1" s="76" t="s">
        <v>17</v>
      </c>
      <c r="CF1" s="76"/>
      <c r="CG1" s="76"/>
      <c r="CH1" s="76"/>
      <c r="CI1" s="75" t="s">
        <v>18</v>
      </c>
      <c r="CJ1" s="75"/>
      <c r="CK1" s="75"/>
      <c r="CL1" s="75"/>
      <c r="CM1" s="76" t="s">
        <v>19</v>
      </c>
      <c r="CN1" s="76"/>
      <c r="CO1" s="76"/>
      <c r="CP1" s="76"/>
      <c r="CQ1" s="80" t="s">
        <v>20</v>
      </c>
      <c r="CR1" s="80"/>
      <c r="CS1" s="80"/>
      <c r="CT1" s="80"/>
      <c r="CU1" s="80"/>
      <c r="CV1" s="80"/>
      <c r="CW1" s="80"/>
      <c r="CX1" s="80"/>
      <c r="CY1" s="79" t="s">
        <v>21</v>
      </c>
      <c r="CZ1" s="79"/>
      <c r="DA1" s="79"/>
      <c r="DB1" s="79" t="s">
        <v>22</v>
      </c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80" t="s">
        <v>23</v>
      </c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77" t="s">
        <v>24</v>
      </c>
      <c r="EG1" s="77"/>
      <c r="EH1" s="77"/>
      <c r="EI1" s="77"/>
      <c r="EJ1" s="78" t="s">
        <v>25</v>
      </c>
      <c r="EK1" s="78"/>
      <c r="EL1" s="78"/>
      <c r="EM1" s="78"/>
      <c r="EN1" s="77" t="s">
        <v>26</v>
      </c>
      <c r="EO1" s="77"/>
      <c r="EP1" s="77"/>
      <c r="EQ1" s="77"/>
      <c r="ER1" s="78" t="s">
        <v>27</v>
      </c>
      <c r="ES1" s="78"/>
      <c r="ET1" s="78"/>
      <c r="EU1" s="78"/>
      <c r="EV1" s="75" t="s">
        <v>28</v>
      </c>
      <c r="EW1" s="75"/>
      <c r="EX1" s="75"/>
      <c r="EY1" s="75"/>
      <c r="EZ1" s="76" t="s">
        <v>29</v>
      </c>
      <c r="FA1" s="76"/>
      <c r="FB1" s="76"/>
      <c r="FC1" s="76"/>
      <c r="FD1" s="75" t="s">
        <v>30</v>
      </c>
      <c r="FE1" s="75"/>
      <c r="FF1" s="75"/>
      <c r="FG1" s="75"/>
      <c r="FH1" s="76" t="s">
        <v>31</v>
      </c>
      <c r="FI1" s="76"/>
      <c r="FJ1" s="76"/>
      <c r="FK1" s="76"/>
      <c r="FL1" s="75" t="s">
        <v>32</v>
      </c>
      <c r="FM1" s="75"/>
      <c r="FN1" s="75"/>
      <c r="FO1" s="75"/>
      <c r="FP1" s="76" t="s">
        <v>33</v>
      </c>
      <c r="FQ1" s="76"/>
      <c r="FR1" s="76"/>
      <c r="FS1" s="76"/>
      <c r="FT1" s="75" t="s">
        <v>34</v>
      </c>
      <c r="FU1" s="75"/>
      <c r="FV1" s="75"/>
      <c r="FW1" s="75"/>
      <c r="FX1" s="76" t="s">
        <v>35</v>
      </c>
      <c r="FY1" s="76"/>
      <c r="FZ1" s="76"/>
      <c r="GA1" s="76"/>
    </row>
    <row r="2" spans="1:183" s="20" customFormat="1" ht="120" x14ac:dyDescent="0.25">
      <c r="A2" s="64" t="s">
        <v>36</v>
      </c>
      <c r="B2" s="64" t="s">
        <v>37</v>
      </c>
      <c r="C2" s="64" t="s">
        <v>38</v>
      </c>
      <c r="D2" s="65" t="s">
        <v>39</v>
      </c>
      <c r="E2" s="20" t="s">
        <v>40</v>
      </c>
      <c r="F2" s="72" t="s">
        <v>41</v>
      </c>
      <c r="G2" s="72" t="s">
        <v>42</v>
      </c>
      <c r="H2" s="72" t="s">
        <v>43</v>
      </c>
      <c r="I2" s="72" t="s">
        <v>44</v>
      </c>
      <c r="J2" s="71" t="s">
        <v>45</v>
      </c>
      <c r="K2" s="71" t="s">
        <v>46</v>
      </c>
      <c r="L2" s="71" t="s">
        <v>47</v>
      </c>
      <c r="M2" s="71" t="s">
        <v>48</v>
      </c>
      <c r="N2" s="72" t="s">
        <v>49</v>
      </c>
      <c r="O2" s="72" t="s">
        <v>50</v>
      </c>
      <c r="P2" s="72" t="s">
        <v>51</v>
      </c>
      <c r="Q2" s="72" t="s">
        <v>52</v>
      </c>
      <c r="R2" s="44" t="s">
        <v>53</v>
      </c>
      <c r="S2" s="44" t="s">
        <v>54</v>
      </c>
      <c r="T2" s="44" t="s">
        <v>55</v>
      </c>
      <c r="U2" s="44" t="s">
        <v>56</v>
      </c>
      <c r="V2" s="58" t="s">
        <v>57</v>
      </c>
      <c r="W2" s="58" t="s">
        <v>58</v>
      </c>
      <c r="X2" s="58" t="s">
        <v>59</v>
      </c>
      <c r="Y2" s="58" t="s">
        <v>60</v>
      </c>
      <c r="Z2" s="11" t="s">
        <v>61</v>
      </c>
      <c r="AA2" s="11" t="s">
        <v>62</v>
      </c>
      <c r="AB2" s="11" t="s">
        <v>63</v>
      </c>
      <c r="AC2" s="11" t="s">
        <v>64</v>
      </c>
      <c r="AD2" s="73" t="s">
        <v>65</v>
      </c>
      <c r="AE2" s="73" t="s">
        <v>66</v>
      </c>
      <c r="AF2" s="73" t="s">
        <v>67</v>
      </c>
      <c r="AG2" s="73" t="s">
        <v>68</v>
      </c>
      <c r="AH2" s="73" t="s">
        <v>69</v>
      </c>
      <c r="AI2" s="73" t="s">
        <v>70</v>
      </c>
      <c r="AJ2" s="73" t="s">
        <v>71</v>
      </c>
      <c r="AK2" s="73" t="s">
        <v>72</v>
      </c>
      <c r="AL2" s="73" t="s">
        <v>73</v>
      </c>
      <c r="AM2" s="71" t="s">
        <v>74</v>
      </c>
      <c r="AN2" s="71" t="s">
        <v>75</v>
      </c>
      <c r="AO2" s="71" t="s">
        <v>76</v>
      </c>
      <c r="AP2" s="71" t="s">
        <v>77</v>
      </c>
      <c r="AQ2" s="72" t="s">
        <v>78</v>
      </c>
      <c r="AR2" s="72" t="s">
        <v>79</v>
      </c>
      <c r="AS2" s="72" t="s">
        <v>80</v>
      </c>
      <c r="AT2" s="72" t="s">
        <v>81</v>
      </c>
      <c r="AU2" s="6" t="s">
        <v>82</v>
      </c>
      <c r="AV2" s="6" t="s">
        <v>83</v>
      </c>
      <c r="AW2" s="6" t="s">
        <v>84</v>
      </c>
      <c r="AX2" s="7" t="s">
        <v>85</v>
      </c>
      <c r="AY2" s="6" t="s">
        <v>86</v>
      </c>
      <c r="AZ2" s="6" t="s">
        <v>87</v>
      </c>
      <c r="BA2" s="6" t="s">
        <v>88</v>
      </c>
      <c r="BB2" s="7" t="s">
        <v>89</v>
      </c>
      <c r="BC2" s="6" t="s">
        <v>90</v>
      </c>
      <c r="BD2" s="6" t="s">
        <v>91</v>
      </c>
      <c r="BE2" s="6" t="s">
        <v>92</v>
      </c>
      <c r="BF2" s="7" t="s">
        <v>93</v>
      </c>
      <c r="BG2" s="6" t="s">
        <v>94</v>
      </c>
      <c r="BH2" s="6" t="s">
        <v>95</v>
      </c>
      <c r="BI2" s="6" t="s">
        <v>96</v>
      </c>
      <c r="BJ2" s="7" t="s">
        <v>97</v>
      </c>
      <c r="BK2" s="30" t="s">
        <v>98</v>
      </c>
      <c r="BL2" s="30" t="s">
        <v>99</v>
      </c>
      <c r="BM2" s="30" t="s">
        <v>100</v>
      </c>
      <c r="BN2" s="30" t="s">
        <v>101</v>
      </c>
      <c r="BO2" s="54" t="s">
        <v>102</v>
      </c>
      <c r="BP2" s="54" t="s">
        <v>103</v>
      </c>
      <c r="BQ2" s="54" t="s">
        <v>104</v>
      </c>
      <c r="BR2" s="54" t="s">
        <v>105</v>
      </c>
      <c r="BS2" s="30" t="s">
        <v>106</v>
      </c>
      <c r="BT2" s="30" t="s">
        <v>107</v>
      </c>
      <c r="BU2" s="30" t="s">
        <v>108</v>
      </c>
      <c r="BV2" s="30" t="s">
        <v>109</v>
      </c>
      <c r="BW2" s="54" t="s">
        <v>110</v>
      </c>
      <c r="BX2" s="54" t="s">
        <v>111</v>
      </c>
      <c r="BY2" s="54" t="s">
        <v>112</v>
      </c>
      <c r="BZ2" s="54" t="s">
        <v>113</v>
      </c>
      <c r="CA2" s="30" t="s">
        <v>114</v>
      </c>
      <c r="CB2" s="30" t="s">
        <v>115</v>
      </c>
      <c r="CC2" s="30" t="s">
        <v>116</v>
      </c>
      <c r="CD2" s="30" t="s">
        <v>117</v>
      </c>
      <c r="CE2" s="54" t="s">
        <v>118</v>
      </c>
      <c r="CF2" s="54" t="s">
        <v>119</v>
      </c>
      <c r="CG2" s="54" t="s">
        <v>120</v>
      </c>
      <c r="CH2" s="54" t="s">
        <v>121</v>
      </c>
      <c r="CI2" s="30" t="s">
        <v>122</v>
      </c>
      <c r="CJ2" s="30" t="s">
        <v>123</v>
      </c>
      <c r="CK2" s="30" t="s">
        <v>124</v>
      </c>
      <c r="CL2" s="30" t="s">
        <v>125</v>
      </c>
      <c r="CM2" s="54" t="s">
        <v>126</v>
      </c>
      <c r="CN2" s="54" t="s">
        <v>127</v>
      </c>
      <c r="CO2" s="54" t="s">
        <v>128</v>
      </c>
      <c r="CP2" s="54" t="s">
        <v>129</v>
      </c>
      <c r="CQ2" s="18" t="s">
        <v>130</v>
      </c>
      <c r="CR2" s="9" t="s">
        <v>131</v>
      </c>
      <c r="CS2" s="9" t="s">
        <v>132</v>
      </c>
      <c r="CT2" s="9" t="s">
        <v>133</v>
      </c>
      <c r="CU2" s="9" t="s">
        <v>134</v>
      </c>
      <c r="CV2" s="9" t="s">
        <v>135</v>
      </c>
      <c r="CW2" s="9" t="s">
        <v>136</v>
      </c>
      <c r="CX2" s="9" t="s">
        <v>137</v>
      </c>
      <c r="CY2" s="20" t="s">
        <v>138</v>
      </c>
      <c r="CZ2" s="20" t="s">
        <v>139</v>
      </c>
      <c r="DA2" s="20" t="s">
        <v>140</v>
      </c>
      <c r="DB2" s="20" t="s">
        <v>141</v>
      </c>
      <c r="DC2" s="20" t="s">
        <v>142</v>
      </c>
      <c r="DD2" s="20" t="s">
        <v>143</v>
      </c>
      <c r="DE2" s="20" t="s">
        <v>144</v>
      </c>
      <c r="DF2" s="20" t="s">
        <v>145</v>
      </c>
      <c r="DG2" s="20" t="s">
        <v>146</v>
      </c>
      <c r="DH2" s="20" t="s">
        <v>147</v>
      </c>
      <c r="DI2" s="20" t="s">
        <v>148</v>
      </c>
      <c r="DJ2" s="20" t="s">
        <v>149</v>
      </c>
      <c r="DK2" s="20" t="s">
        <v>150</v>
      </c>
      <c r="DL2" s="20" t="s">
        <v>151</v>
      </c>
      <c r="DM2" s="20" t="s">
        <v>152</v>
      </c>
      <c r="DN2" s="20" t="s">
        <v>153</v>
      </c>
      <c r="DO2" s="20" t="s">
        <v>154</v>
      </c>
      <c r="DP2" s="20" t="s">
        <v>155</v>
      </c>
      <c r="DQ2" s="20" t="s">
        <v>156</v>
      </c>
      <c r="DR2" s="20" t="s">
        <v>157</v>
      </c>
      <c r="DS2" s="20" t="s">
        <v>158</v>
      </c>
      <c r="DT2" s="20" t="s">
        <v>159</v>
      </c>
      <c r="DU2" s="20" t="s">
        <v>160</v>
      </c>
      <c r="DV2" s="20" t="s">
        <v>161</v>
      </c>
      <c r="DW2" s="20" t="s">
        <v>162</v>
      </c>
      <c r="DX2" s="20" t="s">
        <v>163</v>
      </c>
      <c r="DY2" s="20" t="s">
        <v>164</v>
      </c>
      <c r="DZ2" s="20" t="s">
        <v>165</v>
      </c>
      <c r="EA2" s="20" t="s">
        <v>166</v>
      </c>
      <c r="EB2" s="20" t="s">
        <v>167</v>
      </c>
      <c r="EC2" s="20" t="s">
        <v>168</v>
      </c>
      <c r="ED2" s="20" t="s">
        <v>169</v>
      </c>
      <c r="EE2" s="20" t="s">
        <v>170</v>
      </c>
      <c r="EF2" s="34" t="s">
        <v>171</v>
      </c>
      <c r="EG2" s="34" t="s">
        <v>172</v>
      </c>
      <c r="EH2" s="34" t="s">
        <v>173</v>
      </c>
      <c r="EI2" s="34" t="s">
        <v>174</v>
      </c>
      <c r="EJ2" s="47" t="s">
        <v>175</v>
      </c>
      <c r="EK2" s="47" t="s">
        <v>176</v>
      </c>
      <c r="EL2" s="47" t="s">
        <v>177</v>
      </c>
      <c r="EM2" s="47" t="s">
        <v>178</v>
      </c>
      <c r="EN2" s="34" t="s">
        <v>179</v>
      </c>
      <c r="EO2" s="34" t="s">
        <v>180</v>
      </c>
      <c r="EP2" s="34" t="s">
        <v>181</v>
      </c>
      <c r="EQ2" s="34" t="s">
        <v>182</v>
      </c>
      <c r="ER2" s="47" t="s">
        <v>183</v>
      </c>
      <c r="ES2" s="47" t="s">
        <v>184</v>
      </c>
      <c r="ET2" s="47" t="s">
        <v>185</v>
      </c>
      <c r="EU2" s="47" t="s">
        <v>186</v>
      </c>
      <c r="EV2" s="35" t="s">
        <v>187</v>
      </c>
      <c r="EW2" s="35" t="s">
        <v>188</v>
      </c>
      <c r="EX2" s="35" t="s">
        <v>189</v>
      </c>
      <c r="EY2" s="35" t="s">
        <v>190</v>
      </c>
      <c r="EZ2" s="51" t="s">
        <v>191</v>
      </c>
      <c r="FA2" s="51" t="s">
        <v>192</v>
      </c>
      <c r="FB2" s="51" t="s">
        <v>193</v>
      </c>
      <c r="FC2" s="51" t="s">
        <v>194</v>
      </c>
      <c r="FD2" s="35" t="s">
        <v>195</v>
      </c>
      <c r="FE2" s="35" t="s">
        <v>196</v>
      </c>
      <c r="FF2" s="35" t="s">
        <v>197</v>
      </c>
      <c r="FG2" s="35" t="s">
        <v>198</v>
      </c>
      <c r="FH2" s="51" t="s">
        <v>199</v>
      </c>
      <c r="FI2" s="51" t="s">
        <v>200</v>
      </c>
      <c r="FJ2" s="51" t="s">
        <v>201</v>
      </c>
      <c r="FK2" s="51" t="s">
        <v>202</v>
      </c>
      <c r="FL2" s="35" t="s">
        <v>203</v>
      </c>
      <c r="FM2" s="35" t="s">
        <v>204</v>
      </c>
      <c r="FN2" s="35" t="s">
        <v>205</v>
      </c>
      <c r="FO2" s="35" t="s">
        <v>206</v>
      </c>
      <c r="FP2" s="51" t="s">
        <v>207</v>
      </c>
      <c r="FQ2" s="51" t="s">
        <v>208</v>
      </c>
      <c r="FR2" s="51" t="s">
        <v>209</v>
      </c>
      <c r="FS2" s="51" t="s">
        <v>210</v>
      </c>
      <c r="FT2" s="35" t="s">
        <v>211</v>
      </c>
      <c r="FU2" s="35" t="s">
        <v>212</v>
      </c>
      <c r="FV2" s="35" t="s">
        <v>213</v>
      </c>
      <c r="FW2" s="35" t="s">
        <v>214</v>
      </c>
      <c r="FX2" s="51" t="s">
        <v>215</v>
      </c>
      <c r="FY2" s="51" t="s">
        <v>216</v>
      </c>
      <c r="FZ2" s="51" t="s">
        <v>217</v>
      </c>
      <c r="GA2" s="51" t="s">
        <v>218</v>
      </c>
    </row>
    <row r="3" spans="1:183" ht="15.75" x14ac:dyDescent="0.25">
      <c r="A3" s="66" t="s">
        <v>219</v>
      </c>
      <c r="B3" s="66" t="s">
        <v>220</v>
      </c>
      <c r="C3" s="67">
        <v>3</v>
      </c>
      <c r="D3" s="68" t="s">
        <v>221</v>
      </c>
      <c r="E3">
        <v>5</v>
      </c>
      <c r="F3" s="27">
        <v>1472</v>
      </c>
      <c r="G3" s="27">
        <v>1423</v>
      </c>
      <c r="H3" s="27">
        <v>1450</v>
      </c>
      <c r="I3" s="27">
        <v>1412</v>
      </c>
      <c r="J3" s="23">
        <v>144</v>
      </c>
      <c r="K3" s="23">
        <v>131</v>
      </c>
      <c r="L3" s="23">
        <v>150</v>
      </c>
      <c r="M3" s="23">
        <v>169</v>
      </c>
      <c r="N3" s="27">
        <v>1328</v>
      </c>
      <c r="O3" s="27">
        <v>1292</v>
      </c>
      <c r="P3" s="27">
        <v>1300</v>
      </c>
      <c r="Q3" s="27">
        <v>1243</v>
      </c>
      <c r="R3" s="25">
        <f>VLOOKUP($A3,'ADM, LTADM'!$B:$L,2,FALSE)</f>
        <v>1483.49</v>
      </c>
      <c r="S3" s="25">
        <f>VLOOKUP($A3,'ADM, LTADM'!$B:$L,3,FALSE)</f>
        <v>1483.6</v>
      </c>
      <c r="T3" s="25">
        <f>VLOOKUP($A3,'ADM, LTADM'!$B:$L,4,FALSE)</f>
        <v>1438.1599999999999</v>
      </c>
      <c r="U3" s="25">
        <f>VLOOKUP($A3,'ADM, LTADM'!$B:$L,5,FALSE)</f>
        <v>1248.26</v>
      </c>
      <c r="V3" s="29">
        <f>VLOOKUP($A3,'ADM, LTADM'!$B:$L,7,FALSE)</f>
        <v>1489.4199999999998</v>
      </c>
      <c r="W3" s="29">
        <f>VLOOKUP($A3,'ADM, LTADM'!$B:$L,8,FALSE)</f>
        <v>1491.09</v>
      </c>
      <c r="X3" s="29">
        <f>VLOOKUP($A3,'ADM, LTADM'!$B:$L,9,FALSE)</f>
        <v>1469.53</v>
      </c>
      <c r="Y3" s="29">
        <f>VLOOKUP($A3,'ADM, LTADM'!$B:$L,10,FALSE)</f>
        <v>1254.75</v>
      </c>
      <c r="Z3" s="10">
        <v>1477.77</v>
      </c>
      <c r="AA3" s="10">
        <v>1465.19</v>
      </c>
      <c r="AB3" s="10">
        <v>1465.71</v>
      </c>
      <c r="AC3" s="10">
        <v>1442.76</v>
      </c>
      <c r="AD3" s="2">
        <v>0.28539156626506024</v>
      </c>
      <c r="AE3" s="2">
        <v>0.33514352211016291</v>
      </c>
      <c r="AF3" s="2">
        <v>0.35376260667183862</v>
      </c>
      <c r="AG3" s="2">
        <v>0.23594615993665874</v>
      </c>
      <c r="AH3" s="2">
        <f t="shared" ref="AH3:AH43" si="0">AVERAGE(AD3:AF3)</f>
        <v>0.32476589834902064</v>
      </c>
      <c r="AI3" s="46">
        <f>VLOOKUP(A3,'[1]SU_SD IDEA 3-21'!$A:$B,2,FALSE)</f>
        <v>187</v>
      </c>
      <c r="AJ3" s="46">
        <f>VLOOKUP(A3,'[2]SU_SD IDEA 3-21'!$A:$B,2,FALSE)</f>
        <v>184</v>
      </c>
      <c r="AK3" s="46">
        <f>VLOOKUP(A3,'[3]SU_SD IDEA 3-21'!$A:$B,2,FALSE)</f>
        <v>193</v>
      </c>
      <c r="AL3" s="46">
        <f>VLOOKUP($A3,'[4]SU_SD IDEA 3-21'!$A:$B,2,FALSE)</f>
        <v>203</v>
      </c>
      <c r="AM3" s="22">
        <f>AI3/R3</f>
        <v>0.12605410215100876</v>
      </c>
      <c r="AN3" s="22">
        <f t="shared" ref="AN3:AP3" si="1">AJ3/S3</f>
        <v>0.12402264761391212</v>
      </c>
      <c r="AO3" s="22">
        <f t="shared" si="1"/>
        <v>0.13419925460310397</v>
      </c>
      <c r="AP3" s="22">
        <f t="shared" si="1"/>
        <v>0.16262637591527407</v>
      </c>
      <c r="AQ3" s="26" t="s">
        <v>222</v>
      </c>
      <c r="AR3" s="26" t="s">
        <v>222</v>
      </c>
      <c r="AS3" s="26">
        <v>1.0085337470907681E-2</v>
      </c>
      <c r="AT3" s="26" t="s">
        <v>222</v>
      </c>
      <c r="AU3" s="2">
        <v>0.49679487179487181</v>
      </c>
      <c r="AV3" s="2">
        <v>0.5109034267912772</v>
      </c>
      <c r="AW3" s="2">
        <v>0.5</v>
      </c>
      <c r="AX3" s="2">
        <v>0.50330250990752967</v>
      </c>
      <c r="AY3" s="2">
        <v>0.51602564102564108</v>
      </c>
      <c r="AZ3" s="2">
        <v>0.38940809968847351</v>
      </c>
      <c r="BA3" s="2">
        <v>0.32539682539682541</v>
      </c>
      <c r="BB3" s="2">
        <v>0.43083003952569171</v>
      </c>
      <c r="BC3" s="2">
        <v>0.54339622641509433</v>
      </c>
      <c r="BD3" s="2">
        <v>0.64583333333333337</v>
      </c>
      <c r="BE3" s="2">
        <v>0.27</v>
      </c>
      <c r="BF3" s="8">
        <v>0.55000000000000004</v>
      </c>
      <c r="BG3" s="2">
        <v>0.4606741573033708</v>
      </c>
      <c r="BH3" s="2">
        <v>0.48780487804878048</v>
      </c>
      <c r="BI3" s="2">
        <v>0.20792079207920791</v>
      </c>
      <c r="BJ3" s="8">
        <v>0.43</v>
      </c>
      <c r="BK3" s="31">
        <f>VLOOKUP($A3,[5]FY20!$W:$AF,7,FALSE)</f>
        <v>9.7153614457831328</v>
      </c>
      <c r="BL3" s="31">
        <f>VLOOKUP($A3,[5]FY20!$W:$AF,8,FALSE)</f>
        <v>1.2695783132530118</v>
      </c>
      <c r="BM3" s="31">
        <f>VLOOKUP($A3,[5]FY20!$W:$AF,9,FALSE)</f>
        <v>1.9917168674698795</v>
      </c>
      <c r="BN3" s="31">
        <f>VLOOKUP($A3,[5]FY20!$W:$AF,10,FALSE)</f>
        <v>5.6475903614457836</v>
      </c>
      <c r="BO3" s="55">
        <f>VLOOKUP($A3,[5]FY21!$W:$AF,7,FALSE)</f>
        <v>9.0928792569659436</v>
      </c>
      <c r="BP3" s="55">
        <f>VLOOKUP($A3,[5]FY21!$W:$AF,8,FALSE)</f>
        <v>1.3637770897832815</v>
      </c>
      <c r="BQ3" s="55">
        <f>VLOOKUP($A3,[5]FY21!$W:$AF,9,FALSE)</f>
        <v>1.9071207430340558</v>
      </c>
      <c r="BR3" s="55">
        <f>VLOOKUP($A3,[5]FY21!$W:$AF,10,FALSE)</f>
        <v>5.8436532507739942</v>
      </c>
      <c r="BS3" s="31">
        <f>VLOOKUP($A3,[5]FY22!$W:$AF,7,FALSE)</f>
        <v>9.0984615384615388</v>
      </c>
      <c r="BT3" s="31">
        <f>VLOOKUP($A3,[5]FY22!$W:$AF,8,FALSE)</f>
        <v>1.6169230769230769</v>
      </c>
      <c r="BU3" s="31">
        <f>VLOOKUP($A3,[5]FY22!$W:$AF,9,FALSE)</f>
        <v>1.9307692307692308</v>
      </c>
      <c r="BV3" s="31">
        <f>VLOOKUP($A3,[5]FY22!$W:$AF,10,FALSE)</f>
        <v>6.1953846153846168</v>
      </c>
      <c r="BW3" s="55">
        <f>VLOOKUP($A3,[5]FY23!$W:$AF,7,FALSE)</f>
        <v>8.8897827835880925</v>
      </c>
      <c r="BX3" s="55">
        <f>VLOOKUP($A3,[5]FY23!$W:$AF,8,FALSE)</f>
        <v>1.5124698310539018</v>
      </c>
      <c r="BY3" s="55">
        <f>VLOOKUP($A3,[5]FY23!$W:$AF,9,FALSE)</f>
        <v>2.2204344328238133</v>
      </c>
      <c r="BZ3" s="55">
        <f>VLOOKUP($A3,[5]FY23!$W:$AF,10,FALSE)</f>
        <v>6.0450522928399044</v>
      </c>
      <c r="CA3" s="37">
        <f>VLOOKUP($A3,[5]FY20!$W:$AF,3,FALSE)</f>
        <v>63670.549837234532</v>
      </c>
      <c r="CB3" s="37">
        <f>VLOOKUP($A3,[5]FY20!$W:$AF,4,FALSE)</f>
        <v>87258.048635824438</v>
      </c>
      <c r="CC3" s="37">
        <f>VLOOKUP($A3,[5]FY20!$W:$AF,5,FALSE)</f>
        <v>62743.257466918716</v>
      </c>
      <c r="CD3" s="37">
        <f>VLOOKUP($A3,[5]FY20!$W:$AF,6,FALSE)</f>
        <v>38948.034266666669</v>
      </c>
      <c r="CE3" s="52">
        <f>VLOOKUP($A3,[5]FY21!$W:$AF,3,FALSE)</f>
        <v>65242.790262172282</v>
      </c>
      <c r="CF3" s="52">
        <f>VLOOKUP($A3,[5]FY21!$W:$AF,4,FALSE)</f>
        <v>152348.58115777528</v>
      </c>
      <c r="CG3" s="52">
        <f>VLOOKUP($A3,[5]FY21!$W:$AF,5,FALSE)</f>
        <v>63108.198051948049</v>
      </c>
      <c r="CH3" s="52">
        <f>VLOOKUP($A3,[5]FY21!$W:$AF,6,FALSE)</f>
        <v>39254.026490066222</v>
      </c>
      <c r="CI3" s="37">
        <f>VLOOKUP($A3,[5]FY22!$W:$AF,3,FALSE)</f>
        <v>65761.734866418672</v>
      </c>
      <c r="CJ3" s="37">
        <f>VLOOKUP($A3,[5]FY22!$W:$AF,4,FALSE)</f>
        <v>90220.742150333012</v>
      </c>
      <c r="CK3" s="37">
        <f>VLOOKUP($A3,[5]FY22!$W:$AF,5,FALSE)</f>
        <v>64207.131474103589</v>
      </c>
      <c r="CL3" s="37">
        <f>VLOOKUP($A3,[5]FY22!$W:$AF,6,FALSE)</f>
        <v>40901.179538117693</v>
      </c>
      <c r="CM3" s="52">
        <f>VLOOKUP($A3,[5]FY23!$W:$AF,3,FALSE)</f>
        <v>66648.389140271494</v>
      </c>
      <c r="CN3" s="52">
        <f>VLOOKUP($A3,[5]FY23!$W:$AF,4,FALSE)</f>
        <v>94756.436170212779</v>
      </c>
      <c r="CO3" s="52">
        <f>VLOOKUP($A3,[5]FY23!$W:$AF,5,FALSE)</f>
        <v>67800.507246376816</v>
      </c>
      <c r="CP3" s="52">
        <f>VLOOKUP($A3,[5]FY23!$W:$AF,6,FALSE)</f>
        <v>46049.041788661154</v>
      </c>
      <c r="CQ3" s="5">
        <v>0.88600000000000001</v>
      </c>
      <c r="CR3" s="4">
        <v>0.88900000000000001</v>
      </c>
      <c r="CS3" s="4">
        <v>0.90600000000000003</v>
      </c>
      <c r="CT3" s="4">
        <v>0.877</v>
      </c>
      <c r="CU3" s="4">
        <v>0.86499999999999999</v>
      </c>
      <c r="CV3" s="4">
        <v>0.86699999999999999</v>
      </c>
      <c r="CW3" s="4">
        <v>0.89800000000000002</v>
      </c>
      <c r="CX3" s="4">
        <v>0.90500000000000003</v>
      </c>
      <c r="CY3" t="s">
        <v>223</v>
      </c>
      <c r="CZ3" t="s">
        <v>223</v>
      </c>
      <c r="DA3" t="s">
        <v>223</v>
      </c>
      <c r="DB3">
        <v>0</v>
      </c>
      <c r="DC3">
        <v>1</v>
      </c>
      <c r="DD3">
        <v>3</v>
      </c>
      <c r="DE3">
        <v>0</v>
      </c>
      <c r="DF3">
        <v>2</v>
      </c>
      <c r="DG3">
        <v>0</v>
      </c>
      <c r="DH3">
        <v>2</v>
      </c>
      <c r="DI3">
        <v>2</v>
      </c>
      <c r="DJ3">
        <v>0</v>
      </c>
      <c r="DK3">
        <v>2</v>
      </c>
      <c r="DL3">
        <v>0</v>
      </c>
      <c r="DM3">
        <v>0</v>
      </c>
      <c r="DN3">
        <v>3</v>
      </c>
      <c r="DO3">
        <v>1</v>
      </c>
      <c r="DP3">
        <v>1</v>
      </c>
      <c r="DQ3" s="5">
        <v>0</v>
      </c>
      <c r="DR3" s="5">
        <v>0.16700000000000001</v>
      </c>
      <c r="DS3" s="5">
        <v>0.5</v>
      </c>
      <c r="DT3" s="5">
        <v>0</v>
      </c>
      <c r="DU3" s="5">
        <v>0.33300000000000002</v>
      </c>
      <c r="DV3" s="5">
        <v>0</v>
      </c>
      <c r="DW3" s="5">
        <v>0.33300000000000002</v>
      </c>
      <c r="DX3" s="5">
        <v>0.33300000000000002</v>
      </c>
      <c r="DY3" s="5">
        <v>0</v>
      </c>
      <c r="DZ3" s="5">
        <v>0.33300000000000002</v>
      </c>
      <c r="EA3" s="5">
        <v>0</v>
      </c>
      <c r="EB3" s="5">
        <v>0</v>
      </c>
      <c r="EC3" s="5">
        <v>0.5</v>
      </c>
      <c r="ED3" s="5">
        <v>0.16700000000000001</v>
      </c>
      <c r="EE3" s="5">
        <v>0.16700000000000001</v>
      </c>
      <c r="EF3" s="36">
        <f>VLOOKUP($A3,'[6]Updated (2)'!$A$2:$Q$54,2,FALSE)</f>
        <v>0</v>
      </c>
      <c r="EG3" s="36">
        <f>VLOOKUP($A3,'[6]Updated (2)'!$A$2:$Q$54,3,FALSE)</f>
        <v>0</v>
      </c>
      <c r="EH3" s="36">
        <f>VLOOKUP($A3,'[6]Updated (2)'!$A$2:$Q$54,4,FALSE)</f>
        <v>0</v>
      </c>
      <c r="EI3" s="36">
        <f>VLOOKUP($A3,'[6]Updated (2)'!$A$2:$Q$54,5,FALSE)</f>
        <v>0</v>
      </c>
      <c r="EJ3" s="48">
        <f>VLOOKUP($A3,'[6]Updated (2)'!$A$2:$Q$54,6,FALSE)</f>
        <v>0</v>
      </c>
      <c r="EK3" s="48">
        <f>VLOOKUP($A3,'[6]Updated (2)'!$A$2:$Q$54,7,FALSE)</f>
        <v>0</v>
      </c>
      <c r="EL3" s="48">
        <f>VLOOKUP($A3,'[6]Updated (2)'!$A$2:$Q$54,8,FALSE)</f>
        <v>0</v>
      </c>
      <c r="EM3" s="48">
        <f>VLOOKUP($A3,'[6]Updated (2)'!$A$2:$Q$54,9,FALSE)</f>
        <v>0</v>
      </c>
      <c r="EN3" s="36">
        <f>VLOOKUP($A3,'[6]Updated (2)'!$A$2:$Q$54,10,FALSE)</f>
        <v>0</v>
      </c>
      <c r="EO3" s="36">
        <f>VLOOKUP($A3,'[6]Updated (2)'!$A$2:$Q$54,11,FALSE)</f>
        <v>0</v>
      </c>
      <c r="EP3" s="36">
        <f>VLOOKUP($A3,'[6]Updated (2)'!$A$2:$Q$54,12,FALSE)</f>
        <v>0</v>
      </c>
      <c r="EQ3" s="36">
        <f>VLOOKUP($A3,'[6]Updated (2)'!$A$2:$Q$54,13,FALSE)</f>
        <v>0</v>
      </c>
      <c r="ER3" s="48">
        <f>VLOOKUP($A3,'[6]Updated (2)'!$A$2:$Q$54,14,FALSE)</f>
        <v>0</v>
      </c>
      <c r="ES3" s="48">
        <f>VLOOKUP($A3,'[6]Updated (2)'!$A$2:$Q$54,15,FALSE)</f>
        <v>0</v>
      </c>
      <c r="ET3" s="48">
        <f>VLOOKUP($A3,'[6]Updated (2)'!$A$2:$Q$54,16,FALSE)</f>
        <v>0</v>
      </c>
      <c r="EU3" s="48">
        <f>VLOOKUP($A3,'[6]Updated (2)'!$A$2:$Q$54,17,FALSE)</f>
        <v>0</v>
      </c>
      <c r="EV3" s="37">
        <f>VLOOKUP($A3,[7]Totals!$A3:$F54,3,FALSE)-SUM(EF3:EI3)</f>
        <v>33174447.450000022</v>
      </c>
      <c r="EW3" s="37">
        <f>VLOOKUP($A3,[7]Totals!$A3:$F54,4,FALSE)-SUM(EJ3:EM3)</f>
        <v>33882185.710000023</v>
      </c>
      <c r="EX3" s="37">
        <f>VLOOKUP($A3,[7]Totals!$A3:$F54,5,FALSE)-SUM(EN3:EQ3)</f>
        <v>34774818.060000032</v>
      </c>
      <c r="EY3" s="37">
        <f>VLOOKUP($A3,[7]Totals!$A3:$F54,6,FALSE)-SUM(ER3:EU3)</f>
        <v>39064800.329999998</v>
      </c>
      <c r="EZ3" s="52">
        <f t="shared" ref="EZ3:EZ34" si="2">EV3/V3</f>
        <v>22273.400014770868</v>
      </c>
      <c r="FA3" s="52">
        <f t="shared" ref="FA3:FA34" si="3">EW3/W3</f>
        <v>22723.099014814681</v>
      </c>
      <c r="FB3" s="52">
        <f t="shared" ref="FB3:FB34" si="4">EX3/X3</f>
        <v>23663.904826713326</v>
      </c>
      <c r="FC3" s="52">
        <f t="shared" ref="FC3:FC34" si="5">EY3/Y3</f>
        <v>31133.532839210995</v>
      </c>
      <c r="FD3" s="37">
        <f>VLOOKUP($A3,[8]Totals!$A$2:$F$54,3)-SUM(EF3:EI3)</f>
        <v>31852417.570000015</v>
      </c>
      <c r="FE3" s="37">
        <f>VLOOKUP($A3,[8]Totals!$A$2:$F$54,4)-SUM(EJ3:EM3)</f>
        <v>33867518.710000023</v>
      </c>
      <c r="FF3" s="37">
        <f>VLOOKUP($A3,[8]Totals!$A$2:$F$54,5)-SUM(EN3:EQ3)</f>
        <v>34752616.670000009</v>
      </c>
      <c r="FG3" s="37">
        <f>VLOOKUP($A3,[8]Totals!$A$2:$F$54,6)-SUM(ER3:EU3)</f>
        <v>38780542.439999998</v>
      </c>
      <c r="FH3" s="52">
        <f t="shared" ref="FH3:FH34" si="6">FD3/V3</f>
        <v>21385.78612480027</v>
      </c>
      <c r="FI3" s="52">
        <f t="shared" ref="FI3:FI34" si="7">FE3/W3</f>
        <v>22713.262586430079</v>
      </c>
      <c r="FJ3" s="52">
        <f t="shared" ref="FJ3:FJ34" si="8">FF3/X3</f>
        <v>23648.797009928352</v>
      </c>
      <c r="FK3" s="52">
        <f t="shared" ref="FK3:FK34" si="9">FG3/Y3</f>
        <v>30906.987399880454</v>
      </c>
      <c r="FL3" s="37">
        <f>VLOOKUP($A3,[9]Totals!$A$3:$F$54,3)-SUM(EF3:EI3)</f>
        <v>29444250.280000001</v>
      </c>
      <c r="FM3" s="37">
        <f>VLOOKUP($A3,[9]Totals!$A$3:$F$54,4)-SUM(EJ3:EM3)</f>
        <v>29506105.699999984</v>
      </c>
      <c r="FN3" s="37">
        <f>VLOOKUP($A3,[9]Totals!$A$3:$F$54,5)-SUM(EN3:EQ3)</f>
        <v>29766368.069999978</v>
      </c>
      <c r="FO3" s="37">
        <f>VLOOKUP($A3,[9]Totals!$A$3:$F$54,6)-SUM(ER3:EU3)</f>
        <v>32473913.129999965</v>
      </c>
      <c r="FP3" s="52">
        <f t="shared" ref="FP3:FP34" si="10">FL3/V3</f>
        <v>19768.937089605352</v>
      </c>
      <c r="FQ3" s="52">
        <f t="shared" ref="FQ3:FQ34" si="11">FM3/W3</f>
        <v>19788.279513644371</v>
      </c>
      <c r="FR3" s="52">
        <f t="shared" ref="FR3:FR34" si="12">FN3/X3</f>
        <v>20255.706293849038</v>
      </c>
      <c r="FS3" s="52">
        <f t="shared" ref="FS3:FS34" si="13">FO3/Y3</f>
        <v>25880.783526598898</v>
      </c>
      <c r="FT3" s="37">
        <f>VLOOKUP($A3,[10]Calculations!$AF$3:$AJ$54,2,FALSE)-EI3</f>
        <v>6113562.1900000013</v>
      </c>
      <c r="FU3" s="37">
        <f>VLOOKUP($A3,[10]Calculations!$AF$3:$AJ$54,3,FALSE)-EM3</f>
        <v>5898057.1499999976</v>
      </c>
      <c r="FV3" s="37">
        <f>VLOOKUP($A3,[10]Calculations!$AF$3:$AJ$54,4,FALSE)-EQ3</f>
        <v>6067816.629999998</v>
      </c>
      <c r="FW3" s="37">
        <f>VLOOKUP($A3,[10]Calculations!$AF$3:$AJ$54,5,FALSE)-EU3</f>
        <v>6382211.2740414487</v>
      </c>
      <c r="FX3" s="52">
        <f t="shared" ref="FX3:FX34" si="14">FT3/AI3</f>
        <v>32692.845935828886</v>
      </c>
      <c r="FY3" s="52">
        <f t="shared" ref="FY3:FY34" si="15">FU3/AJ3</f>
        <v>32054.658423913032</v>
      </c>
      <c r="FZ3" s="52">
        <f t="shared" ref="FZ3:FZ34" si="16">FV3/AK3</f>
        <v>31439.464404145067</v>
      </c>
      <c r="GA3" s="52">
        <f t="shared" ref="GA3:GA34" si="17">FW3/AL3</f>
        <v>31439.464404145067</v>
      </c>
    </row>
    <row r="4" spans="1:183" ht="15.75" x14ac:dyDescent="0.25">
      <c r="A4" s="66" t="s">
        <v>224</v>
      </c>
      <c r="B4" s="66" t="s">
        <v>225</v>
      </c>
      <c r="C4" s="67">
        <v>1</v>
      </c>
      <c r="D4" s="68" t="s">
        <v>221</v>
      </c>
      <c r="E4">
        <v>3</v>
      </c>
      <c r="F4" s="27">
        <v>941</v>
      </c>
      <c r="G4" s="27">
        <v>905</v>
      </c>
      <c r="H4" s="27">
        <v>918</v>
      </c>
      <c r="I4" s="27">
        <v>939</v>
      </c>
      <c r="J4" s="23">
        <v>90</v>
      </c>
      <c r="K4" s="23">
        <v>83</v>
      </c>
      <c r="L4" s="23">
        <v>81</v>
      </c>
      <c r="M4" s="23">
        <v>85</v>
      </c>
      <c r="N4" s="27">
        <v>851</v>
      </c>
      <c r="O4" s="27">
        <v>822</v>
      </c>
      <c r="P4" s="27">
        <v>837</v>
      </c>
      <c r="Q4" s="27">
        <v>854</v>
      </c>
      <c r="R4" s="25">
        <f>VLOOKUP($A4,'ADM, LTADM'!$B:$L,2,FALSE)</f>
        <v>939.79000000000008</v>
      </c>
      <c r="S4" s="25">
        <f>VLOOKUP($A4,'ADM, LTADM'!$B:$L,3,FALSE)</f>
        <v>939.78000000000009</v>
      </c>
      <c r="T4" s="25">
        <f>VLOOKUP($A4,'ADM, LTADM'!$B:$L,4,FALSE)</f>
        <v>906.17</v>
      </c>
      <c r="U4" s="25">
        <f>VLOOKUP($A4,'ADM, LTADM'!$B:$L,5,FALSE)</f>
        <v>941.55</v>
      </c>
      <c r="V4" s="29">
        <f>VLOOKUP($A4,'ADM, LTADM'!$B:$L,7,FALSE)</f>
        <v>952.33000000000015</v>
      </c>
      <c r="W4" s="29">
        <f>VLOOKUP($A4,'ADM, LTADM'!$B:$L,8,FALSE)</f>
        <v>944.07</v>
      </c>
      <c r="X4" s="29">
        <f>VLOOKUP($A4,'ADM, LTADM'!$B:$L,9,FALSE)</f>
        <v>927.88</v>
      </c>
      <c r="Y4" s="29">
        <f>VLOOKUP($A4,'ADM, LTADM'!$B:$L,10,FALSE)</f>
        <v>926.12</v>
      </c>
      <c r="Z4" s="10">
        <v>965.35</v>
      </c>
      <c r="AA4" s="10">
        <v>948.52</v>
      </c>
      <c r="AB4" s="10">
        <v>943.93</v>
      </c>
      <c r="AC4" s="10">
        <v>914.61</v>
      </c>
      <c r="AD4" s="2">
        <v>0.32950631458094143</v>
      </c>
      <c r="AE4" s="2">
        <v>0.2988095238095238</v>
      </c>
      <c r="AF4" s="2">
        <v>0.27868852459016391</v>
      </c>
      <c r="AG4" s="2">
        <v>0.28770301624129929</v>
      </c>
      <c r="AH4" s="2">
        <f t="shared" si="0"/>
        <v>0.30233478766020971</v>
      </c>
      <c r="AI4" s="46">
        <f>VLOOKUP(A4,'[1]SU_SD IDEA 3-21'!$A:$B,2,FALSE)</f>
        <v>137</v>
      </c>
      <c r="AJ4" s="46">
        <f>VLOOKUP(A4,'[2]SU_SD IDEA 3-21'!$A:$B,2,FALSE)</f>
        <v>143</v>
      </c>
      <c r="AK4" s="46">
        <f>VLOOKUP(A4,'[3]SU_SD IDEA 3-21'!$A:$B,2,FALSE)</f>
        <v>142</v>
      </c>
      <c r="AL4" s="46">
        <f>VLOOKUP($A4,'[4]SU_SD IDEA 3-21'!$A:$B,2,FALSE)</f>
        <v>148</v>
      </c>
      <c r="AM4" s="22">
        <f t="shared" ref="AM4:AM53" si="18">AI4/R4</f>
        <v>0.14577724810862</v>
      </c>
      <c r="AN4" s="22">
        <f t="shared" ref="AN4:AN53" si="19">AJ4/S4</f>
        <v>0.15216327225520865</v>
      </c>
      <c r="AO4" s="22">
        <f t="shared" ref="AO4:AO53" si="20">AK4/T4</f>
        <v>0.1567034883079334</v>
      </c>
      <c r="AP4" s="22">
        <f t="shared" ref="AP4:AP53" si="21">AL4/U4</f>
        <v>0.15718761616483459</v>
      </c>
      <c r="AQ4" s="26" t="s">
        <v>222</v>
      </c>
      <c r="AR4" s="26" t="s">
        <v>222</v>
      </c>
      <c r="AS4" s="26" t="s">
        <v>222</v>
      </c>
      <c r="AT4" s="26" t="s">
        <v>222</v>
      </c>
      <c r="AU4" s="2">
        <v>0.62804878048780488</v>
      </c>
      <c r="AV4" s="2">
        <v>0.58333333333333337</v>
      </c>
      <c r="AW4" s="2">
        <v>0.671875</v>
      </c>
      <c r="AX4" s="2">
        <v>0.61261261261261257</v>
      </c>
      <c r="AY4" s="2">
        <v>0.59756097560975607</v>
      </c>
      <c r="AZ4" s="2">
        <v>0.45833333333333331</v>
      </c>
      <c r="BA4" s="2">
        <v>0.453125</v>
      </c>
      <c r="BB4" s="2">
        <v>0.50900900900900903</v>
      </c>
      <c r="BC4" s="2" t="s">
        <v>222</v>
      </c>
      <c r="BD4" s="2">
        <v>0.59322033898305082</v>
      </c>
      <c r="BE4" s="2" t="s">
        <v>222</v>
      </c>
      <c r="BF4" s="8"/>
      <c r="BG4" s="2" t="s">
        <v>222</v>
      </c>
      <c r="BH4" s="2" t="s">
        <v>222</v>
      </c>
      <c r="BI4" s="2" t="s">
        <v>222</v>
      </c>
      <c r="BJ4" s="8"/>
      <c r="BK4" s="31">
        <f>VLOOKUP($A4,[5]FY20!$W:$AF,7,FALSE)</f>
        <v>9.8061104582843708</v>
      </c>
      <c r="BL4" s="31">
        <f>VLOOKUP($A4,[5]FY20!$W:$AF,8,FALSE)</f>
        <v>1.1750881316098707</v>
      </c>
      <c r="BM4" s="31">
        <f>VLOOKUP($A4,[5]FY20!$W:$AF,9,FALSE)</f>
        <v>1.8213866039952997</v>
      </c>
      <c r="BN4" s="31">
        <f>VLOOKUP($A4,[5]FY20!$W:$AF,10,FALSE)</f>
        <v>6.192714453584018</v>
      </c>
      <c r="BO4" s="55">
        <f>VLOOKUP($A4,[5]FY21!$W:$AF,7,FALSE)</f>
        <v>10.081508515815084</v>
      </c>
      <c r="BP4" s="55">
        <f>VLOOKUP($A4,[5]FY21!$W:$AF,8,FALSE)</f>
        <v>1.1800729927007299</v>
      </c>
      <c r="BQ4" s="55">
        <f>VLOOKUP($A4,[5]FY21!$W:$AF,9,FALSE)</f>
        <v>1.812652068126521</v>
      </c>
      <c r="BR4" s="55">
        <f>VLOOKUP($A4,[5]FY21!$W:$AF,10,FALSE)</f>
        <v>6.1982968369829683</v>
      </c>
      <c r="BS4" s="31">
        <f>VLOOKUP($A4,[5]FY22!$W:$AF,7,FALSE)</f>
        <v>9.7132616487455188</v>
      </c>
      <c r="BT4" s="31">
        <f>VLOOKUP($A4,[5]FY22!$W:$AF,8,FALSE)</f>
        <v>0.95579450418160095</v>
      </c>
      <c r="BU4" s="31">
        <f>VLOOKUP($A4,[5]FY22!$W:$AF,9,FALSE)</f>
        <v>2.1385902031063324</v>
      </c>
      <c r="BV4" s="31">
        <f>VLOOKUP($A4,[5]FY22!$W:$AF,10,FALSE)</f>
        <v>6.281959378733573</v>
      </c>
      <c r="BW4" s="55">
        <f>VLOOKUP($A4,[5]FY23!$W:$AF,7,FALSE)</f>
        <v>9.8161592505854802</v>
      </c>
      <c r="BX4" s="55">
        <f>VLOOKUP($A4,[5]FY23!$W:$AF,8,FALSE)</f>
        <v>1.2880562060889931</v>
      </c>
      <c r="BY4" s="55">
        <f>VLOOKUP($A4,[5]FY23!$W:$AF,9,FALSE)</f>
        <v>2.3067915690866516</v>
      </c>
      <c r="BZ4" s="55">
        <f>VLOOKUP($A4,[5]FY23!$W:$AF,10,FALSE)</f>
        <v>6.451990632318501</v>
      </c>
      <c r="CA4" s="37">
        <f>VLOOKUP($A4,[5]FY20!$W:$AF,3,FALSE)</f>
        <v>61763.538645895744</v>
      </c>
      <c r="CB4" s="37">
        <f>VLOOKUP($A4,[5]FY20!$W:$AF,4,FALSE)</f>
        <v>85897.45</v>
      </c>
      <c r="CC4" s="37">
        <f>VLOOKUP($A4,[5]FY20!$W:$AF,5,FALSE)</f>
        <v>64870.383870967729</v>
      </c>
      <c r="CD4" s="37">
        <f>VLOOKUP($A4,[5]FY20!$W:$AF,6,FALSE)</f>
        <v>48599.143263757127</v>
      </c>
      <c r="CE4" s="52">
        <f>VLOOKUP($A4,[5]FY21!$W:$AF,3,FALSE)</f>
        <v>62947.628816218166</v>
      </c>
      <c r="CF4" s="52">
        <f>VLOOKUP($A4,[5]FY21!$W:$AF,4,FALSE)</f>
        <v>86477.08294674338</v>
      </c>
      <c r="CG4" s="52">
        <f>VLOOKUP($A4,[5]FY21!$W:$AF,5,FALSE)</f>
        <v>65141.946308724822</v>
      </c>
      <c r="CH4" s="52">
        <f>VLOOKUP($A4,[5]FY21!$W:$AF,6,FALSE)</f>
        <v>47034.072620215898</v>
      </c>
      <c r="CI4" s="37">
        <f>VLOOKUP($A4,[5]FY22!$W:$AF,3,FALSE)</f>
        <v>63281.783517835182</v>
      </c>
      <c r="CJ4" s="37">
        <f>VLOOKUP($A4,[5]FY22!$W:$AF,4,FALSE)</f>
        <v>90799.25</v>
      </c>
      <c r="CK4" s="37">
        <f>VLOOKUP($A4,[5]FY22!$W:$AF,5,FALSE)</f>
        <v>68544.860335195524</v>
      </c>
      <c r="CL4" s="37">
        <f>VLOOKUP($A4,[5]FY22!$W:$AF,6,FALSE)</f>
        <v>59498.611639406612</v>
      </c>
      <c r="CM4" s="52">
        <f>VLOOKUP($A4,[5]FY23!$W:$AF,3,FALSE)</f>
        <v>61717.607061911011</v>
      </c>
      <c r="CN4" s="52">
        <f>VLOOKUP($A4,[5]FY23!$W:$AF,4,FALSE)</f>
        <v>83162.909090909088</v>
      </c>
      <c r="CO4" s="52">
        <f>VLOOKUP($A4,[5]FY23!$W:$AF,5,FALSE)</f>
        <v>71763.502538071058</v>
      </c>
      <c r="CP4" s="52">
        <f>VLOOKUP($A4,[5]FY23!$W:$AF,6,FALSE)</f>
        <v>49535.009074410169</v>
      </c>
      <c r="CQ4" s="5">
        <v>0.88800000000000001</v>
      </c>
      <c r="CR4" s="4">
        <v>0.92800000000000005</v>
      </c>
      <c r="CS4" s="4">
        <v>0.88800000000000001</v>
      </c>
      <c r="CT4" s="4">
        <v>0.96199999999999997</v>
      </c>
      <c r="CU4" s="4">
        <v>0.92700000000000005</v>
      </c>
      <c r="CV4" s="4">
        <v>0.94399999999999995</v>
      </c>
      <c r="CW4" s="4">
        <v>0.77</v>
      </c>
      <c r="CX4" s="4">
        <v>0.91800000000000004</v>
      </c>
      <c r="CY4" t="s">
        <v>223</v>
      </c>
      <c r="CZ4" t="s">
        <v>223</v>
      </c>
      <c r="DA4" t="s">
        <v>223</v>
      </c>
      <c r="DB4">
        <v>0</v>
      </c>
      <c r="DC4">
        <v>0</v>
      </c>
      <c r="DD4">
        <v>3</v>
      </c>
      <c r="DE4">
        <v>0</v>
      </c>
      <c r="DF4">
        <v>0</v>
      </c>
      <c r="DG4">
        <v>0</v>
      </c>
      <c r="DH4">
        <v>1</v>
      </c>
      <c r="DI4">
        <v>2</v>
      </c>
      <c r="DJ4">
        <v>0</v>
      </c>
      <c r="DK4">
        <v>0</v>
      </c>
      <c r="DL4">
        <v>0</v>
      </c>
      <c r="DM4">
        <v>1</v>
      </c>
      <c r="DN4">
        <v>2</v>
      </c>
      <c r="DO4">
        <v>0</v>
      </c>
      <c r="DP4">
        <v>0</v>
      </c>
      <c r="DQ4" s="5">
        <v>0</v>
      </c>
      <c r="DR4" s="5">
        <v>0</v>
      </c>
      <c r="DS4" s="5">
        <v>1</v>
      </c>
      <c r="DT4" s="5">
        <v>0</v>
      </c>
      <c r="DU4" s="5">
        <v>0</v>
      </c>
      <c r="DV4" s="5">
        <v>0</v>
      </c>
      <c r="DW4" s="5">
        <v>0.33300000000000002</v>
      </c>
      <c r="DX4" s="5">
        <v>0.66700000000000004</v>
      </c>
      <c r="DY4" s="5">
        <v>0</v>
      </c>
      <c r="DZ4" s="5">
        <v>0</v>
      </c>
      <c r="EA4" s="5">
        <v>0</v>
      </c>
      <c r="EB4" s="5">
        <v>0.33300000000000002</v>
      </c>
      <c r="EC4" s="5">
        <v>0.66700000000000004</v>
      </c>
      <c r="ED4" s="5">
        <v>0</v>
      </c>
      <c r="EE4" s="5">
        <v>0</v>
      </c>
      <c r="EF4" s="36">
        <f>VLOOKUP($A4,'[6]Updated (2)'!$A$2:$Q$54,2,FALSE)</f>
        <v>0</v>
      </c>
      <c r="EG4" s="36">
        <f>VLOOKUP($A4,'[6]Updated (2)'!$A$2:$Q$54,3,FALSE)</f>
        <v>0</v>
      </c>
      <c r="EH4" s="36">
        <f>VLOOKUP($A4,'[6]Updated (2)'!$A$2:$Q$54,4,FALSE)</f>
        <v>0</v>
      </c>
      <c r="EI4" s="36">
        <f>VLOOKUP($A4,'[6]Updated (2)'!$A$2:$Q$54,5,FALSE)</f>
        <v>0</v>
      </c>
      <c r="EJ4" s="48">
        <f>VLOOKUP($A4,'[6]Updated (2)'!$A$2:$Q$54,6,FALSE)</f>
        <v>0</v>
      </c>
      <c r="EK4" s="48">
        <f>VLOOKUP($A4,'[6]Updated (2)'!$A$2:$Q$54,7,FALSE)</f>
        <v>0</v>
      </c>
      <c r="EL4" s="48">
        <f>VLOOKUP($A4,'[6]Updated (2)'!$A$2:$Q$54,8,FALSE)</f>
        <v>0</v>
      </c>
      <c r="EM4" s="48">
        <f>VLOOKUP($A4,'[6]Updated (2)'!$A$2:$Q$54,9,FALSE)</f>
        <v>0</v>
      </c>
      <c r="EN4" s="36">
        <f>VLOOKUP($A4,'[6]Updated (2)'!$A$2:$Q$54,10,FALSE)</f>
        <v>0</v>
      </c>
      <c r="EO4" s="36">
        <f>VLOOKUP($A4,'[6]Updated (2)'!$A$2:$Q$54,11,FALSE)</f>
        <v>0</v>
      </c>
      <c r="EP4" s="36">
        <f>VLOOKUP($A4,'[6]Updated (2)'!$A$2:$Q$54,12,FALSE)</f>
        <v>0</v>
      </c>
      <c r="EQ4" s="36">
        <f>VLOOKUP($A4,'[6]Updated (2)'!$A$2:$Q$54,13,FALSE)</f>
        <v>0</v>
      </c>
      <c r="ER4" s="48">
        <f>VLOOKUP($A4,'[6]Updated (2)'!$A$2:$Q$54,14,FALSE)</f>
        <v>0</v>
      </c>
      <c r="ES4" s="48">
        <f>VLOOKUP($A4,'[6]Updated (2)'!$A$2:$Q$54,15,FALSE)</f>
        <v>0</v>
      </c>
      <c r="ET4" s="48">
        <f>VLOOKUP($A4,'[6]Updated (2)'!$A$2:$Q$54,16,FALSE)</f>
        <v>0</v>
      </c>
      <c r="EU4" s="48">
        <f>VLOOKUP($A4,'[6]Updated (2)'!$A$2:$Q$54,17,FALSE)</f>
        <v>0</v>
      </c>
      <c r="EV4" s="37">
        <f>VLOOKUP($A4,[7]Totals!$A4:$F55,3,FALSE)-SUM(EF4:EI4)</f>
        <v>21752287</v>
      </c>
      <c r="EW4" s="37">
        <f>VLOOKUP($A4,[7]Totals!$A4:$F55,4,FALSE)-SUM(EJ4:EM4)</f>
        <v>22172633</v>
      </c>
      <c r="EX4" s="37">
        <f>VLOOKUP($A4,[7]Totals!$A4:$F55,5,FALSE)-SUM(EN4:EQ4)</f>
        <v>24850763</v>
      </c>
      <c r="EY4" s="37">
        <f>VLOOKUP($A4,[7]Totals!$A4:$F55,6,FALSE)-SUM(ER4:EU4)</f>
        <v>26365321.800000016</v>
      </c>
      <c r="EZ4" s="52">
        <f t="shared" si="2"/>
        <v>22841.123350099228</v>
      </c>
      <c r="FA4" s="52">
        <f t="shared" si="3"/>
        <v>23486.217123730232</v>
      </c>
      <c r="FB4" s="52">
        <f t="shared" si="4"/>
        <v>26782.302668448505</v>
      </c>
      <c r="FC4" s="52">
        <f t="shared" si="5"/>
        <v>28468.58052952103</v>
      </c>
      <c r="FD4" s="37">
        <f>VLOOKUP($A4,[8]Totals!$A$2:$F$54,3)-SUM(EF4:EI4)</f>
        <v>21530395</v>
      </c>
      <c r="FE4" s="37">
        <f>VLOOKUP($A4,[8]Totals!$A$2:$F$54,4)-SUM(EJ4:EM4)</f>
        <v>21715999</v>
      </c>
      <c r="FF4" s="37">
        <f>VLOOKUP($A4,[8]Totals!$A$2:$F$54,5)-SUM(EN4:EQ4)</f>
        <v>23960000</v>
      </c>
      <c r="FG4" s="37">
        <f>VLOOKUP($A4,[8]Totals!$A$2:$F$54,6)-SUM(ER4:EU4)</f>
        <v>25687793.320000019</v>
      </c>
      <c r="FH4" s="52">
        <f t="shared" si="6"/>
        <v>22608.124284649224</v>
      </c>
      <c r="FI4" s="52">
        <f t="shared" si="7"/>
        <v>23002.530532693549</v>
      </c>
      <c r="FJ4" s="52">
        <f t="shared" si="8"/>
        <v>25822.304608354531</v>
      </c>
      <c r="FK4" s="52">
        <f t="shared" si="9"/>
        <v>27737.003109748217</v>
      </c>
      <c r="FL4" s="37">
        <f>VLOOKUP($A4,[9]Totals!$A$3:$F$54,3)-SUM(EF4:EI4)</f>
        <v>19215096</v>
      </c>
      <c r="FM4" s="37">
        <f>VLOOKUP($A4,[9]Totals!$A$3:$F$54,4)-SUM(EJ4:EM4)</f>
        <v>18840222</v>
      </c>
      <c r="FN4" s="37">
        <f>VLOOKUP($A4,[9]Totals!$A$3:$F$54,5)-SUM(EN4:EQ4)</f>
        <v>20615811</v>
      </c>
      <c r="FO4" s="37">
        <f>VLOOKUP($A4,[9]Totals!$A$3:$F$54,6)-SUM(ER4:EU4)</f>
        <v>21547943.360000018</v>
      </c>
      <c r="FP4" s="52">
        <f t="shared" si="10"/>
        <v>20176.930265769217</v>
      </c>
      <c r="FQ4" s="52">
        <f t="shared" si="11"/>
        <v>19956.382471638753</v>
      </c>
      <c r="FR4" s="52">
        <f t="shared" si="12"/>
        <v>22218.186618959349</v>
      </c>
      <c r="FS4" s="52">
        <f t="shared" si="13"/>
        <v>23266.902086122769</v>
      </c>
      <c r="FT4" s="37">
        <f>VLOOKUP($A4,[10]Calculations!$AF$3:$AJ$54,2,FALSE)-EI4</f>
        <v>4581127</v>
      </c>
      <c r="FU4" s="37">
        <f>VLOOKUP($A4,[10]Calculations!$AF$3:$AJ$54,3,FALSE)-EM4</f>
        <v>4778676</v>
      </c>
      <c r="FV4" s="37">
        <f>VLOOKUP($A4,[10]Calculations!$AF$3:$AJ$54,4,FALSE)-EQ4</f>
        <v>4800937</v>
      </c>
      <c r="FW4" s="37">
        <f>VLOOKUP($A4,[10]Calculations!$AF$3:$AJ$54,5,FALSE)-EU4</f>
        <v>5003793.4929577466</v>
      </c>
      <c r="FX4" s="52">
        <f t="shared" si="14"/>
        <v>33438.883211678833</v>
      </c>
      <c r="FY4" s="52">
        <f t="shared" si="15"/>
        <v>33417.314685314683</v>
      </c>
      <c r="FZ4" s="52">
        <f t="shared" si="16"/>
        <v>33809.415492957749</v>
      </c>
      <c r="GA4" s="52">
        <f t="shared" si="17"/>
        <v>33809.415492957749</v>
      </c>
    </row>
    <row r="5" spans="1:183" ht="15.75" x14ac:dyDescent="0.25">
      <c r="A5" s="66" t="s">
        <v>226</v>
      </c>
      <c r="B5" s="66" t="s">
        <v>227</v>
      </c>
      <c r="C5" s="67">
        <v>3</v>
      </c>
      <c r="D5" s="68" t="s">
        <v>221</v>
      </c>
      <c r="E5">
        <v>9</v>
      </c>
      <c r="F5" s="27">
        <v>1807</v>
      </c>
      <c r="G5" s="27">
        <v>1748</v>
      </c>
      <c r="H5" s="27">
        <v>1747</v>
      </c>
      <c r="I5" s="27">
        <v>1773</v>
      </c>
      <c r="J5" s="23">
        <v>189</v>
      </c>
      <c r="K5" s="23">
        <v>142</v>
      </c>
      <c r="L5" s="23">
        <v>141</v>
      </c>
      <c r="M5" s="23">
        <v>163</v>
      </c>
      <c r="N5" s="27">
        <v>1611</v>
      </c>
      <c r="O5" s="27">
        <v>1596</v>
      </c>
      <c r="P5" s="27">
        <v>1600</v>
      </c>
      <c r="Q5" s="27">
        <v>1607</v>
      </c>
      <c r="R5" s="25">
        <f>VLOOKUP($A5,'ADM, LTADM'!$B:$L,2,FALSE)</f>
        <v>1760.05</v>
      </c>
      <c r="S5" s="25">
        <f>VLOOKUP($A5,'ADM, LTADM'!$B:$L,3,FALSE)</f>
        <v>1761.1499999999999</v>
      </c>
      <c r="T5" s="25">
        <f>VLOOKUP($A5,'ADM, LTADM'!$B:$L,4,FALSE)</f>
        <v>1709.55</v>
      </c>
      <c r="U5" s="25">
        <f>VLOOKUP($A5,'ADM, LTADM'!$B:$L,5,FALSE)</f>
        <v>1717.57</v>
      </c>
      <c r="V5" s="29">
        <f>VLOOKUP($A5,'ADM, LTADM'!$B:$L,7,FALSE)</f>
        <v>1769.1299999999999</v>
      </c>
      <c r="W5" s="29">
        <f>VLOOKUP($A5,'ADM, LTADM'!$B:$L,8,FALSE)</f>
        <v>1769.2999999999997</v>
      </c>
      <c r="X5" s="29">
        <f>VLOOKUP($A5,'ADM, LTADM'!$B:$L,9,FALSE)</f>
        <v>1745.12</v>
      </c>
      <c r="Y5" s="29">
        <f>VLOOKUP($A5,'ADM, LTADM'!$B:$L,10,FALSE)</f>
        <v>1716.6399999999996</v>
      </c>
      <c r="Z5" s="10">
        <v>1796.17</v>
      </c>
      <c r="AA5" s="10">
        <v>1746.74</v>
      </c>
      <c r="AB5" s="10">
        <v>1735.44</v>
      </c>
      <c r="AC5" s="10">
        <v>1721.61</v>
      </c>
      <c r="AD5" s="2">
        <v>0.27127985303123087</v>
      </c>
      <c r="AE5" s="2">
        <v>0.27618453865336656</v>
      </c>
      <c r="AF5" s="2">
        <v>0.29465930018416209</v>
      </c>
      <c r="AG5" s="2">
        <v>0.22660098522167488</v>
      </c>
      <c r="AH5" s="2">
        <f t="shared" si="0"/>
        <v>0.28070789728958651</v>
      </c>
      <c r="AI5" s="46">
        <f>VLOOKUP(A5,'[1]SU_SD IDEA 3-21'!$A:$B,2,FALSE)</f>
        <v>247</v>
      </c>
      <c r="AJ5" s="46">
        <f>VLOOKUP(A5,'[2]SU_SD IDEA 3-21'!$A:$B,2,FALSE)</f>
        <v>249</v>
      </c>
      <c r="AK5" s="46">
        <f>VLOOKUP(A5,'[3]SU_SD IDEA 3-21'!$A:$B,2,FALSE)</f>
        <v>236</v>
      </c>
      <c r="AL5" s="46">
        <f>VLOOKUP($A5,'[4]SU_SD IDEA 3-21'!$A:$B,2,FALSE)</f>
        <v>243</v>
      </c>
      <c r="AM5" s="22">
        <f t="shared" si="18"/>
        <v>0.14033692224652708</v>
      </c>
      <c r="AN5" s="22">
        <f t="shared" si="19"/>
        <v>0.14138489055446726</v>
      </c>
      <c r="AO5" s="22">
        <f t="shared" si="20"/>
        <v>0.13804802433388905</v>
      </c>
      <c r="AP5" s="22">
        <f t="shared" si="21"/>
        <v>0.14147894991179399</v>
      </c>
      <c r="AQ5" s="26">
        <v>9.1855480710349054E-3</v>
      </c>
      <c r="AR5" s="26">
        <v>8.7281795511221939E-3</v>
      </c>
      <c r="AS5" s="26">
        <v>7.9803560466543896E-3</v>
      </c>
      <c r="AT5" s="26">
        <v>1.1699507389162561E-2</v>
      </c>
      <c r="AU5" s="2">
        <v>0.54599406528189909</v>
      </c>
      <c r="AV5" s="2">
        <v>0.59644670050761417</v>
      </c>
      <c r="AW5" s="2">
        <v>0.68503937007874016</v>
      </c>
      <c r="AX5" s="2">
        <v>0.58974358974358976</v>
      </c>
      <c r="AY5" s="2">
        <v>0.50887573964497046</v>
      </c>
      <c r="AZ5" s="2">
        <v>0.49367088607594939</v>
      </c>
      <c r="BA5" s="2">
        <v>0.57480314960629919</v>
      </c>
      <c r="BB5" s="2">
        <v>0.51162790697674421</v>
      </c>
      <c r="BC5" s="2">
        <v>0.51807228915662651</v>
      </c>
      <c r="BD5" s="2" t="s">
        <v>222</v>
      </c>
      <c r="BE5" s="2">
        <v>0.47154471544715448</v>
      </c>
      <c r="BF5" s="8">
        <v>0.5</v>
      </c>
      <c r="BG5" s="2">
        <v>0.40963855421686746</v>
      </c>
      <c r="BH5" s="2" t="s">
        <v>222</v>
      </c>
      <c r="BI5" s="2">
        <v>0.48360655737704916</v>
      </c>
      <c r="BJ5" s="8">
        <v>0.43</v>
      </c>
      <c r="BK5" s="31">
        <f>VLOOKUP($A5,[5]FY20!$W:$AF,7,FALSE)</f>
        <v>9.8912237330037112</v>
      </c>
      <c r="BL5" s="31">
        <f>VLOOKUP($A5,[5]FY20!$W:$AF,8,FALSE)</f>
        <v>1.2113720642768853</v>
      </c>
      <c r="BM5" s="31">
        <f>VLOOKUP($A5,[5]FY20!$W:$AF,9,FALSE)</f>
        <v>1.8627935723114954</v>
      </c>
      <c r="BN5" s="31">
        <f>VLOOKUP($A5,[5]FY20!$W:$AF,10,FALSE)</f>
        <v>5.4845488257107533</v>
      </c>
      <c r="BO5" s="55">
        <f>VLOOKUP($A5,[5]FY21!$W:$AF,7,FALSE)</f>
        <v>10.072229140722293</v>
      </c>
      <c r="BP5" s="55">
        <f>VLOOKUP($A5,[5]FY21!$W:$AF,8,FALSE)</f>
        <v>1.2826899128268991</v>
      </c>
      <c r="BQ5" s="55">
        <f>VLOOKUP($A5,[5]FY21!$W:$AF,9,FALSE)</f>
        <v>1.9122042341220422</v>
      </c>
      <c r="BR5" s="55">
        <f>VLOOKUP($A5,[5]FY21!$W:$AF,10,FALSE)</f>
        <v>5.5199252801992529</v>
      </c>
      <c r="BS5" s="31">
        <f>VLOOKUP($A5,[5]FY22!$W:$AF,7,FALSE)</f>
        <v>10.298256537982569</v>
      </c>
      <c r="BT5" s="31">
        <f>VLOOKUP($A5,[5]FY22!$W:$AF,8,FALSE)</f>
        <v>1.4694894146948942</v>
      </c>
      <c r="BU5" s="31">
        <f>VLOOKUP($A5,[5]FY22!$W:$AF,9,FALSE)</f>
        <v>2.0367372353673718</v>
      </c>
      <c r="BV5" s="31">
        <f>VLOOKUP($A5,[5]FY22!$W:$AF,10,FALSE)</f>
        <v>6.250311332503113</v>
      </c>
      <c r="BW5" s="55">
        <f>VLOOKUP($A5,[5]FY23!$W:$AF,7,FALSE)</f>
        <v>10.875776397515532</v>
      </c>
      <c r="BX5" s="55">
        <f>VLOOKUP($A5,[5]FY23!$W:$AF,8,FALSE)</f>
        <v>1.5031055900621118</v>
      </c>
      <c r="BY5" s="55">
        <f>VLOOKUP($A5,[5]FY23!$W:$AF,9,FALSE)</f>
        <v>2.0937888198757766</v>
      </c>
      <c r="BZ5" s="55">
        <f>VLOOKUP($A5,[5]FY23!$W:$AF,10,FALSE)</f>
        <v>7.1416149068322969</v>
      </c>
      <c r="CA5" s="37">
        <f>VLOOKUP($A5,[5]FY20!$W:$AF,3,FALSE)</f>
        <v>64439.090227443121</v>
      </c>
      <c r="CB5" s="37">
        <f>VLOOKUP($A5,[5]FY20!$W:$AF,4,FALSE)</f>
        <v>91956.479591836731</v>
      </c>
      <c r="CC5" s="37">
        <f>VLOOKUP($A5,[5]FY20!$W:$AF,5,FALSE)</f>
        <v>65274.518911745196</v>
      </c>
      <c r="CD5" s="37">
        <f>VLOOKUP($A5,[5]FY20!$W:$AF,6,FALSE)</f>
        <v>46865.167906242961</v>
      </c>
      <c r="CE5" s="52">
        <f>VLOOKUP($A5,[5]FY21!$W:$AF,3,FALSE)</f>
        <v>64303.421115232442</v>
      </c>
      <c r="CF5" s="52">
        <f>VLOOKUP($A5,[5]FY21!$W:$AF,4,FALSE)</f>
        <v>93556.941747572811</v>
      </c>
      <c r="CG5" s="52">
        <f>VLOOKUP($A5,[5]FY21!$W:$AF,5,FALSE)</f>
        <v>61784.339303158595</v>
      </c>
      <c r="CH5" s="52">
        <f>VLOOKUP($A5,[5]FY21!$W:$AF,6,FALSE)</f>
        <v>42449.854596728706</v>
      </c>
      <c r="CI5" s="37">
        <f>VLOOKUP($A5,[5]FY22!$W:$AF,3,FALSE)</f>
        <v>65307.672107261598</v>
      </c>
      <c r="CJ5" s="37">
        <f>VLOOKUP($A5,[5]FY22!$W:$AF,4,FALSE)</f>
        <v>88647.68644067795</v>
      </c>
      <c r="CK5" s="37">
        <f>VLOOKUP($A5,[5]FY22!$W:$AF,5,FALSE)</f>
        <v>61756.583307856949</v>
      </c>
      <c r="CL5" s="37">
        <f>VLOOKUP($A5,[5]FY22!$W:$AF,6,FALSE)</f>
        <v>41975.086272165776</v>
      </c>
      <c r="CM5" s="52">
        <f>VLOOKUP($A5,[5]FY23!$W:$AF,3,FALSE)</f>
        <v>65227.699486007972</v>
      </c>
      <c r="CN5" s="52">
        <f>VLOOKUP($A5,[5]FY23!$W:$AF,4,FALSE)</f>
        <v>96703.479338842983</v>
      </c>
      <c r="CO5" s="52">
        <f>VLOOKUP($A5,[5]FY23!$W:$AF,5,FALSE)</f>
        <v>60104.488282408784</v>
      </c>
      <c r="CP5" s="52">
        <f>VLOOKUP($A5,[5]FY23!$W:$AF,6,FALSE)</f>
        <v>41488.609410332247</v>
      </c>
      <c r="CQ5" s="5">
        <v>0.86199999999999999</v>
      </c>
      <c r="CR5" s="4">
        <v>0.91100000000000003</v>
      </c>
      <c r="CS5" s="4">
        <v>0.82599999999999996</v>
      </c>
      <c r="CT5" s="4">
        <v>0.84399999999999997</v>
      </c>
      <c r="CU5" s="4">
        <v>0.85899999999999999</v>
      </c>
      <c r="CV5" s="4">
        <v>0.89700000000000002</v>
      </c>
      <c r="CW5" s="4">
        <v>0.80800000000000005</v>
      </c>
      <c r="CX5" s="4">
        <v>0.83599999999999997</v>
      </c>
      <c r="CY5" t="s">
        <v>223</v>
      </c>
      <c r="CZ5" t="s">
        <v>223</v>
      </c>
      <c r="DA5" t="s">
        <v>228</v>
      </c>
      <c r="DB5">
        <v>1</v>
      </c>
      <c r="DC5">
        <v>1</v>
      </c>
      <c r="DD5">
        <v>7</v>
      </c>
      <c r="DE5">
        <v>0</v>
      </c>
      <c r="DF5">
        <v>0</v>
      </c>
      <c r="DG5">
        <v>0</v>
      </c>
      <c r="DH5">
        <v>3</v>
      </c>
      <c r="DI5">
        <v>6</v>
      </c>
      <c r="DJ5">
        <v>0</v>
      </c>
      <c r="DK5">
        <v>0</v>
      </c>
      <c r="DL5">
        <v>2</v>
      </c>
      <c r="DM5">
        <v>1</v>
      </c>
      <c r="DN5">
        <v>2</v>
      </c>
      <c r="DO5">
        <v>1</v>
      </c>
      <c r="DP5">
        <v>0</v>
      </c>
      <c r="DQ5" s="5">
        <v>0.111</v>
      </c>
      <c r="DR5" s="5">
        <v>0.111</v>
      </c>
      <c r="DS5" s="5">
        <v>0.77800000000000002</v>
      </c>
      <c r="DT5" s="5">
        <v>0</v>
      </c>
      <c r="DU5" s="5">
        <v>0</v>
      </c>
      <c r="DV5" s="5">
        <v>0</v>
      </c>
      <c r="DW5" s="5">
        <v>0.33300000000000002</v>
      </c>
      <c r="DX5" s="5">
        <v>0.66700000000000004</v>
      </c>
      <c r="DY5" s="5">
        <v>0</v>
      </c>
      <c r="DZ5" s="5">
        <v>0</v>
      </c>
      <c r="EA5" s="5">
        <v>0.222</v>
      </c>
      <c r="EB5" s="5">
        <v>0.111</v>
      </c>
      <c r="EC5" s="5">
        <v>0.222</v>
      </c>
      <c r="ED5" s="5">
        <v>0.111</v>
      </c>
      <c r="EE5" s="5">
        <v>0</v>
      </c>
      <c r="EF5" s="36">
        <f>VLOOKUP($A5,'[6]Updated (2)'!$A$2:$Q$54,2,FALSE)</f>
        <v>0</v>
      </c>
      <c r="EG5" s="36">
        <f>VLOOKUP($A5,'[6]Updated (2)'!$A$2:$Q$54,3,FALSE)</f>
        <v>0</v>
      </c>
      <c r="EH5" s="36">
        <f>VLOOKUP($A5,'[6]Updated (2)'!$A$2:$Q$54,4,FALSE)</f>
        <v>0</v>
      </c>
      <c r="EI5" s="36">
        <f>VLOOKUP($A5,'[6]Updated (2)'!$A$2:$Q$54,5,FALSE)</f>
        <v>0</v>
      </c>
      <c r="EJ5" s="48">
        <f>VLOOKUP($A5,'[6]Updated (2)'!$A$2:$Q$54,6,FALSE)</f>
        <v>0</v>
      </c>
      <c r="EK5" s="48">
        <f>VLOOKUP($A5,'[6]Updated (2)'!$A$2:$Q$54,7,FALSE)</f>
        <v>0</v>
      </c>
      <c r="EL5" s="48">
        <f>VLOOKUP($A5,'[6]Updated (2)'!$A$2:$Q$54,8,FALSE)</f>
        <v>0</v>
      </c>
      <c r="EM5" s="48">
        <f>VLOOKUP($A5,'[6]Updated (2)'!$A$2:$Q$54,9,FALSE)</f>
        <v>0</v>
      </c>
      <c r="EN5" s="36">
        <f>VLOOKUP($A5,'[6]Updated (2)'!$A$2:$Q$54,10,FALSE)</f>
        <v>0</v>
      </c>
      <c r="EO5" s="36">
        <f>VLOOKUP($A5,'[6]Updated (2)'!$A$2:$Q$54,11,FALSE)</f>
        <v>0</v>
      </c>
      <c r="EP5" s="36">
        <f>VLOOKUP($A5,'[6]Updated (2)'!$A$2:$Q$54,12,FALSE)</f>
        <v>0</v>
      </c>
      <c r="EQ5" s="36">
        <f>VLOOKUP($A5,'[6]Updated (2)'!$A$2:$Q$54,13,FALSE)</f>
        <v>0</v>
      </c>
      <c r="ER5" s="48">
        <f>VLOOKUP($A5,'[6]Updated (2)'!$A$2:$Q$54,14,FALSE)</f>
        <v>0</v>
      </c>
      <c r="ES5" s="48">
        <f>VLOOKUP($A5,'[6]Updated (2)'!$A$2:$Q$54,15,FALSE)</f>
        <v>0</v>
      </c>
      <c r="ET5" s="48">
        <f>VLOOKUP($A5,'[6]Updated (2)'!$A$2:$Q$54,16,FALSE)</f>
        <v>0</v>
      </c>
      <c r="EU5" s="48">
        <f>VLOOKUP($A5,'[6]Updated (2)'!$A$2:$Q$54,17,FALSE)</f>
        <v>0</v>
      </c>
      <c r="EV5" s="37">
        <f>VLOOKUP($A5,[7]Totals!$A5:$F56,3,FALSE)-SUM(EF5:EI5)</f>
        <v>37184629.999999985</v>
      </c>
      <c r="EW5" s="37">
        <f>VLOOKUP($A5,[7]Totals!$A5:$F56,4,FALSE)-SUM(EJ5:EM5)</f>
        <v>39155188.079999968</v>
      </c>
      <c r="EX5" s="37">
        <f>VLOOKUP($A5,[7]Totals!$A5:$F56,5,FALSE)-SUM(EN5:EQ5)</f>
        <v>39596819.010000058</v>
      </c>
      <c r="EY5" s="37">
        <f>VLOOKUP($A5,[7]Totals!$A5:$F56,6,FALSE)-SUM(ER5:EU5)</f>
        <v>45253441.839999989</v>
      </c>
      <c r="EZ5" s="52">
        <f t="shared" si="2"/>
        <v>21018.596711377901</v>
      </c>
      <c r="FA5" s="52">
        <f t="shared" si="3"/>
        <v>22130.327293279814</v>
      </c>
      <c r="FB5" s="52">
        <f t="shared" si="4"/>
        <v>22690.02647955445</v>
      </c>
      <c r="FC5" s="52">
        <f t="shared" si="5"/>
        <v>26361.637757479726</v>
      </c>
      <c r="FD5" s="37">
        <f>VLOOKUP($A5,[8]Totals!$A$2:$F$54,3)-SUM(EF5:EI5)</f>
        <v>36943950.359999977</v>
      </c>
      <c r="FE5" s="37">
        <f>VLOOKUP($A5,[8]Totals!$A$2:$F$54,4)-SUM(EJ5:EM5)</f>
        <v>38978733.549999967</v>
      </c>
      <c r="FF5" s="37">
        <f>VLOOKUP($A5,[8]Totals!$A$2:$F$54,5)-SUM(EN5:EQ5)</f>
        <v>39540719.010000035</v>
      </c>
      <c r="FG5" s="37">
        <f>VLOOKUP($A5,[8]Totals!$A$2:$F$54,6)-SUM(ER5:EU5)</f>
        <v>43703469.809999995</v>
      </c>
      <c r="FH5" s="52">
        <f t="shared" si="6"/>
        <v>20882.552644520176</v>
      </c>
      <c r="FI5" s="52">
        <f t="shared" si="7"/>
        <v>22030.596026677202</v>
      </c>
      <c r="FJ5" s="52">
        <f t="shared" si="8"/>
        <v>22657.87969308703</v>
      </c>
      <c r="FK5" s="52">
        <f t="shared" si="9"/>
        <v>25458.727403532484</v>
      </c>
      <c r="FL5" s="37">
        <f>VLOOKUP($A5,[9]Totals!$A$3:$F$54,3)-SUM(EF5:EI5)</f>
        <v>33811174.850000039</v>
      </c>
      <c r="FM5" s="37">
        <f>VLOOKUP($A5,[9]Totals!$A$3:$F$54,4)-SUM(EJ5:EM5)</f>
        <v>35258552.349999979</v>
      </c>
      <c r="FN5" s="37">
        <f>VLOOKUP($A5,[9]Totals!$A$3:$F$54,5)-SUM(EN5:EQ5)</f>
        <v>35471825.620000005</v>
      </c>
      <c r="FO5" s="37">
        <f>VLOOKUP($A5,[9]Totals!$A$3:$F$54,6)-SUM(ER5:EU5)</f>
        <v>38527739.819999985</v>
      </c>
      <c r="FP5" s="52">
        <f t="shared" si="10"/>
        <v>19111.752584603753</v>
      </c>
      <c r="FQ5" s="52">
        <f t="shared" si="11"/>
        <v>19927.967190414278</v>
      </c>
      <c r="FR5" s="52">
        <f t="shared" si="12"/>
        <v>20326.295968185572</v>
      </c>
      <c r="FS5" s="52">
        <f t="shared" si="13"/>
        <v>22443.692224345228</v>
      </c>
      <c r="FT5" s="37">
        <f>VLOOKUP($A5,[10]Calculations!$AF$3:$AJ$54,2,FALSE)-EI5</f>
        <v>5133529.620000001</v>
      </c>
      <c r="FU5" s="37">
        <f>VLOOKUP($A5,[10]Calculations!$AF$3:$AJ$54,3,FALSE)-EM5</f>
        <v>5203345.4800000014</v>
      </c>
      <c r="FV5" s="37">
        <f>VLOOKUP($A5,[10]Calculations!$AF$3:$AJ$54,4,FALSE)-EQ5</f>
        <v>5216325.4799999977</v>
      </c>
      <c r="FW5" s="37">
        <f>VLOOKUP($A5,[10]Calculations!$AF$3:$AJ$54,5,FALSE)-EU5</f>
        <v>5371046.9984745737</v>
      </c>
      <c r="FX5" s="52">
        <f t="shared" si="14"/>
        <v>20783.520728744945</v>
      </c>
      <c r="FY5" s="52">
        <f t="shared" si="15"/>
        <v>20896.969799196791</v>
      </c>
      <c r="FZ5" s="52">
        <f t="shared" si="16"/>
        <v>22103.074067796599</v>
      </c>
      <c r="GA5" s="52">
        <f t="shared" si="17"/>
        <v>22103.074067796599</v>
      </c>
    </row>
    <row r="6" spans="1:183" ht="15.75" x14ac:dyDescent="0.25">
      <c r="A6" s="66" t="s">
        <v>229</v>
      </c>
      <c r="B6" s="66" t="s">
        <v>230</v>
      </c>
      <c r="C6" s="67">
        <v>2</v>
      </c>
      <c r="D6" s="68" t="s">
        <v>231</v>
      </c>
      <c r="E6">
        <v>5</v>
      </c>
      <c r="F6" s="27">
        <v>1318</v>
      </c>
      <c r="G6" s="27">
        <v>1226</v>
      </c>
      <c r="H6" s="27">
        <v>1265</v>
      </c>
      <c r="I6" s="27">
        <v>1266</v>
      </c>
      <c r="J6" s="23">
        <v>121</v>
      </c>
      <c r="K6" s="23">
        <v>91</v>
      </c>
      <c r="L6" s="23">
        <v>105</v>
      </c>
      <c r="M6" s="23">
        <v>104</v>
      </c>
      <c r="N6" s="27">
        <v>1197</v>
      </c>
      <c r="O6" s="27">
        <v>1135</v>
      </c>
      <c r="P6" s="27">
        <v>1160</v>
      </c>
      <c r="Q6" s="27">
        <v>1162</v>
      </c>
      <c r="R6" s="25">
        <f>VLOOKUP($A6,'ADM, LTADM'!$B:$L,2,FALSE)</f>
        <v>1259.0000000000002</v>
      </c>
      <c r="S6" s="25">
        <f>VLOOKUP($A6,'ADM, LTADM'!$B:$L,3,FALSE)</f>
        <v>1257.1500000000001</v>
      </c>
      <c r="T6" s="25">
        <f>VLOOKUP($A6,'ADM, LTADM'!$B:$L,4,FALSE)</f>
        <v>1255.1299999999999</v>
      </c>
      <c r="U6" s="25">
        <f>VLOOKUP($A6,'ADM, LTADM'!$B:$L,5,FALSE)</f>
        <v>1283.8499999999999</v>
      </c>
      <c r="V6" s="29">
        <f>VLOOKUP($A6,'ADM, LTADM'!$B:$L,7,FALSE)</f>
        <v>1282.4699999999998</v>
      </c>
      <c r="W6" s="29">
        <f>VLOOKUP($A6,'ADM, LTADM'!$B:$L,8,FALSE)</f>
        <v>1263.5</v>
      </c>
      <c r="X6" s="29">
        <f>VLOOKUP($A6,'ADM, LTADM'!$B:$L,9,FALSE)</f>
        <v>1263.4599999999998</v>
      </c>
      <c r="Y6" s="29">
        <f>VLOOKUP($A6,'ADM, LTADM'!$B:$L,10,FALSE)</f>
        <v>1276.3400000000001</v>
      </c>
      <c r="Z6" s="10">
        <v>1362.21</v>
      </c>
      <c r="AA6" s="10">
        <v>1318.09</v>
      </c>
      <c r="AB6" s="10">
        <v>1276.47</v>
      </c>
      <c r="AC6" s="10">
        <v>1273.69</v>
      </c>
      <c r="AD6" s="2">
        <v>0.39896373056994816</v>
      </c>
      <c r="AE6" s="2">
        <v>0.39596700274977087</v>
      </c>
      <c r="AF6" s="2">
        <v>0.32216494845360827</v>
      </c>
      <c r="AG6" s="2">
        <v>0.30572160546541416</v>
      </c>
      <c r="AH6" s="2">
        <f t="shared" si="0"/>
        <v>0.37236522725777577</v>
      </c>
      <c r="AI6" s="46">
        <f>VLOOKUP(A6,'[1]SU_SD IDEA 3-21'!$A:$B,2,FALSE)</f>
        <v>227</v>
      </c>
      <c r="AJ6" s="46">
        <f>VLOOKUP(A6,'[2]SU_SD IDEA 3-21'!$A:$B,2,FALSE)</f>
        <v>203</v>
      </c>
      <c r="AK6" s="46">
        <f>VLOOKUP(A6,'[3]SU_SD IDEA 3-21'!$A:$B,2,FALSE)</f>
        <v>212</v>
      </c>
      <c r="AL6" s="46">
        <f>VLOOKUP($A6,'[4]SU_SD IDEA 3-21'!$A:$B,2,FALSE)</f>
        <v>219</v>
      </c>
      <c r="AM6" s="22">
        <f t="shared" si="18"/>
        <v>0.18030182684670371</v>
      </c>
      <c r="AN6" s="22">
        <f t="shared" si="19"/>
        <v>0.16147635524798154</v>
      </c>
      <c r="AO6" s="22">
        <f t="shared" si="20"/>
        <v>0.16890680646626247</v>
      </c>
      <c r="AP6" s="22">
        <f t="shared" si="21"/>
        <v>0.17058067531253651</v>
      </c>
      <c r="AQ6" s="26" t="s">
        <v>222</v>
      </c>
      <c r="AR6" s="26" t="s">
        <v>222</v>
      </c>
      <c r="AS6" s="26" t="s">
        <v>222</v>
      </c>
      <c r="AT6" s="26" t="s">
        <v>222</v>
      </c>
      <c r="AU6" s="2">
        <v>0.48091603053435117</v>
      </c>
      <c r="AV6" s="2">
        <v>0.44727272727272727</v>
      </c>
      <c r="AW6" s="2">
        <v>0.53947368421052633</v>
      </c>
      <c r="AX6" s="2">
        <v>0.4730831973898858</v>
      </c>
      <c r="AY6" s="2">
        <v>0.38697318007662834</v>
      </c>
      <c r="AZ6" s="2">
        <v>0.36131386861313869</v>
      </c>
      <c r="BA6" s="2">
        <v>0.38461538461538464</v>
      </c>
      <c r="BB6" s="2">
        <v>0.37520391517128876</v>
      </c>
      <c r="BC6" s="2">
        <v>0.41714285714285715</v>
      </c>
      <c r="BD6" s="2" t="s">
        <v>222</v>
      </c>
      <c r="BE6" s="2" t="s">
        <v>222</v>
      </c>
      <c r="BF6" s="8">
        <v>0.42</v>
      </c>
      <c r="BG6" s="2">
        <v>0.28977272727272729</v>
      </c>
      <c r="BH6" s="2" t="s">
        <v>222</v>
      </c>
      <c r="BI6" s="2" t="s">
        <v>222</v>
      </c>
      <c r="BJ6" s="8">
        <v>0.28999999999999998</v>
      </c>
      <c r="BK6" s="31">
        <f>VLOOKUP($A6,[5]FY20!$W:$AF,7,FALSE)</f>
        <v>10.488721804511277</v>
      </c>
      <c r="BL6" s="31">
        <f>VLOOKUP($A6,[5]FY20!$W:$AF,8,FALSE)</f>
        <v>1.3358395989974938</v>
      </c>
      <c r="BM6" s="31">
        <f>VLOOKUP($A6,[5]FY20!$W:$AF,9,FALSE)</f>
        <v>2.2038429406850457</v>
      </c>
      <c r="BN6" s="31">
        <f>VLOOKUP($A6,[5]FY20!$W:$AF,10,FALSE)</f>
        <v>4.47702589807853</v>
      </c>
      <c r="BO6" s="55">
        <f>VLOOKUP($A6,[5]FY21!$W:$AF,7,FALSE)</f>
        <v>10.667841409691633</v>
      </c>
      <c r="BP6" s="55">
        <f>VLOOKUP($A6,[5]FY21!$W:$AF,8,FALSE)</f>
        <v>1.5154185022026432</v>
      </c>
      <c r="BQ6" s="55">
        <f>VLOOKUP($A6,[5]FY21!$W:$AF,9,FALSE)</f>
        <v>2.3806167400881053</v>
      </c>
      <c r="BR6" s="55">
        <f>VLOOKUP($A6,[5]FY21!$W:$AF,10,FALSE)</f>
        <v>5.1436123348017633</v>
      </c>
      <c r="BS6" s="31">
        <f>VLOOKUP($A6,[5]FY22!$W:$AF,7,FALSE)</f>
        <v>10.175862068965518</v>
      </c>
      <c r="BT6" s="31">
        <f>VLOOKUP($A6,[5]FY22!$W:$AF,8,FALSE)</f>
        <v>1.5086206896551724</v>
      </c>
      <c r="BU6" s="31">
        <f>VLOOKUP($A6,[5]FY22!$W:$AF,9,FALSE)</f>
        <v>2.2137931034482761</v>
      </c>
      <c r="BV6" s="31">
        <f>VLOOKUP($A6,[5]FY22!$W:$AF,10,FALSE)</f>
        <v>4.7965517241379301</v>
      </c>
      <c r="BW6" s="55">
        <f>VLOOKUP($A6,[5]FY23!$W:$AF,7,FALSE)</f>
        <v>9.9294320137693646</v>
      </c>
      <c r="BX6" s="55">
        <f>VLOOKUP($A6,[5]FY23!$W:$AF,8,FALSE)</f>
        <v>1.2478485370051635</v>
      </c>
      <c r="BY6" s="55">
        <f>VLOOKUP($A6,[5]FY23!$W:$AF,9,FALSE)</f>
        <v>2.0137693631669538</v>
      </c>
      <c r="BZ6" s="55">
        <f>VLOOKUP($A6,[5]FY23!$W:$AF,10,FALSE)</f>
        <v>4.7753872633390708</v>
      </c>
      <c r="CA6" s="37">
        <f>VLOOKUP($A6,[5]FY20!$W:$AF,3,FALSE)</f>
        <v>53239.67343687774</v>
      </c>
      <c r="CB6" s="37">
        <f>VLOOKUP($A6,[5]FY20!$W:$AF,4,FALSE)</f>
        <v>87916.729205753596</v>
      </c>
      <c r="CC6" s="37">
        <f>VLOOKUP($A6,[5]FY20!$W:$AF,5,FALSE)</f>
        <v>55169.633813495071</v>
      </c>
      <c r="CD6" s="37">
        <f>VLOOKUP($A6,[5]FY20!$W:$AF,6,FALSE)</f>
        <v>44373.389811531997</v>
      </c>
      <c r="CE6" s="52">
        <f>VLOOKUP($A6,[5]FY21!$W:$AF,3,FALSE)</f>
        <v>53685.167657746926</v>
      </c>
      <c r="CF6" s="52">
        <f>VLOOKUP($A6,[5]FY21!$W:$AF,4,FALSE)</f>
        <v>85637.993023255811</v>
      </c>
      <c r="CG6" s="52">
        <f>VLOOKUP($A6,[5]FY21!$W:$AF,5,FALSE)</f>
        <v>51327.893412287201</v>
      </c>
      <c r="CH6" s="52">
        <f>VLOOKUP($A6,[5]FY21!$W:$AF,6,FALSE)</f>
        <v>46349.91846522782</v>
      </c>
      <c r="CI6" s="37">
        <f>VLOOKUP($A6,[5]FY22!$W:$AF,3,FALSE)</f>
        <v>54601.451796001355</v>
      </c>
      <c r="CJ6" s="37">
        <f>VLOOKUP($A6,[5]FY22!$W:$AF,4,FALSE)</f>
        <v>87584.36</v>
      </c>
      <c r="CK6" s="37">
        <f>VLOOKUP($A6,[5]FY22!$W:$AF,5,FALSE)</f>
        <v>54959.971183800626</v>
      </c>
      <c r="CL6" s="37">
        <f>VLOOKUP($A6,[5]FY22!$W:$AF,6,FALSE)</f>
        <v>48749.601545650621</v>
      </c>
      <c r="CM6" s="52">
        <f>VLOOKUP($A6,[5]FY23!$W:$AF,3,FALSE)</f>
        <v>58633.320939504229</v>
      </c>
      <c r="CN6" s="52">
        <f>VLOOKUP($A6,[5]FY23!$W:$AF,4,FALSE)</f>
        <v>102462.7172413793</v>
      </c>
      <c r="CO6" s="52">
        <f>VLOOKUP($A6,[5]FY23!$W:$AF,5,FALSE)</f>
        <v>63022.5858974359</v>
      </c>
      <c r="CP6" s="52">
        <f>VLOOKUP($A6,[5]FY23!$W:$AF,6,FALSE)</f>
        <v>51016.871868805189</v>
      </c>
      <c r="CQ6" s="5">
        <v>0.72199999999999998</v>
      </c>
      <c r="CR6" s="4">
        <v>0.94399999999999995</v>
      </c>
      <c r="CS6" s="4">
        <v>0.89200000000000002</v>
      </c>
      <c r="CT6" s="4">
        <v>0.754</v>
      </c>
      <c r="CU6" s="4">
        <v>0.82899999999999996</v>
      </c>
      <c r="CV6" s="4">
        <v>0.77700000000000002</v>
      </c>
      <c r="CW6" s="4">
        <v>0.92300000000000004</v>
      </c>
      <c r="CX6" s="4">
        <v>0.91200000000000003</v>
      </c>
      <c r="CY6" t="s">
        <v>223</v>
      </c>
      <c r="CZ6" t="s">
        <v>223</v>
      </c>
      <c r="DA6" t="s">
        <v>223</v>
      </c>
      <c r="DB6">
        <v>0</v>
      </c>
      <c r="DC6">
        <v>0</v>
      </c>
      <c r="DD6">
        <v>3</v>
      </c>
      <c r="DE6">
        <v>0</v>
      </c>
      <c r="DF6">
        <v>2</v>
      </c>
      <c r="DG6">
        <v>0</v>
      </c>
      <c r="DH6">
        <v>0</v>
      </c>
      <c r="DI6">
        <v>3</v>
      </c>
      <c r="DJ6">
        <v>0</v>
      </c>
      <c r="DK6">
        <v>2</v>
      </c>
      <c r="DL6">
        <v>0</v>
      </c>
      <c r="DM6">
        <v>0</v>
      </c>
      <c r="DN6">
        <v>2</v>
      </c>
      <c r="DO6">
        <v>1</v>
      </c>
      <c r="DP6">
        <v>0</v>
      </c>
      <c r="DQ6" s="5">
        <v>0</v>
      </c>
      <c r="DR6" s="5">
        <v>0</v>
      </c>
      <c r="DS6" s="5">
        <v>0.6</v>
      </c>
      <c r="DT6" s="5">
        <v>0</v>
      </c>
      <c r="DU6" s="5">
        <v>0.4</v>
      </c>
      <c r="DV6" s="5">
        <v>0</v>
      </c>
      <c r="DW6" s="5">
        <v>0</v>
      </c>
      <c r="DX6" s="5">
        <v>0.6</v>
      </c>
      <c r="DY6" s="5">
        <v>0</v>
      </c>
      <c r="DZ6" s="5">
        <v>0.4</v>
      </c>
      <c r="EA6" s="5">
        <v>0</v>
      </c>
      <c r="EB6" s="5">
        <v>0</v>
      </c>
      <c r="EC6" s="5">
        <v>0.4</v>
      </c>
      <c r="ED6" s="5">
        <v>0.2</v>
      </c>
      <c r="EE6" s="5">
        <v>0</v>
      </c>
      <c r="EF6" s="36">
        <f>VLOOKUP($A6,'[6]Updated (2)'!$A$2:$Q$54,2,FALSE)</f>
        <v>0</v>
      </c>
      <c r="EG6" s="36">
        <f>VLOOKUP($A6,'[6]Updated (2)'!$A$2:$Q$54,3,FALSE)</f>
        <v>0</v>
      </c>
      <c r="EH6" s="36">
        <f>VLOOKUP($A6,'[6]Updated (2)'!$A$2:$Q$54,4,FALSE)</f>
        <v>0</v>
      </c>
      <c r="EI6" s="36">
        <f>VLOOKUP($A6,'[6]Updated (2)'!$A$2:$Q$54,5,FALSE)</f>
        <v>0</v>
      </c>
      <c r="EJ6" s="48">
        <f>VLOOKUP($A6,'[6]Updated (2)'!$A$2:$Q$54,6,FALSE)</f>
        <v>0</v>
      </c>
      <c r="EK6" s="48">
        <f>VLOOKUP($A6,'[6]Updated (2)'!$A$2:$Q$54,7,FALSE)</f>
        <v>0</v>
      </c>
      <c r="EL6" s="48">
        <f>VLOOKUP($A6,'[6]Updated (2)'!$A$2:$Q$54,8,FALSE)</f>
        <v>0</v>
      </c>
      <c r="EM6" s="48">
        <f>VLOOKUP($A6,'[6]Updated (2)'!$A$2:$Q$54,9,FALSE)</f>
        <v>0</v>
      </c>
      <c r="EN6" s="36">
        <f>VLOOKUP($A6,'[6]Updated (2)'!$A$2:$Q$54,10,FALSE)</f>
        <v>0</v>
      </c>
      <c r="EO6" s="36">
        <f>VLOOKUP($A6,'[6]Updated (2)'!$A$2:$Q$54,11,FALSE)</f>
        <v>0</v>
      </c>
      <c r="EP6" s="36">
        <f>VLOOKUP($A6,'[6]Updated (2)'!$A$2:$Q$54,12,FALSE)</f>
        <v>0</v>
      </c>
      <c r="EQ6" s="36">
        <f>VLOOKUP($A6,'[6]Updated (2)'!$A$2:$Q$54,13,FALSE)</f>
        <v>0</v>
      </c>
      <c r="ER6" s="48">
        <f>VLOOKUP($A6,'[6]Updated (2)'!$A$2:$Q$54,14,FALSE)</f>
        <v>0</v>
      </c>
      <c r="ES6" s="48">
        <f>VLOOKUP($A6,'[6]Updated (2)'!$A$2:$Q$54,15,FALSE)</f>
        <v>0</v>
      </c>
      <c r="ET6" s="48">
        <f>VLOOKUP($A6,'[6]Updated (2)'!$A$2:$Q$54,16,FALSE)</f>
        <v>0</v>
      </c>
      <c r="EU6" s="48">
        <f>VLOOKUP($A6,'[6]Updated (2)'!$A$2:$Q$54,17,FALSE)</f>
        <v>0</v>
      </c>
      <c r="EV6" s="37">
        <f>VLOOKUP($A6,[7]Totals!$A6:$F57,3,FALSE)-SUM(EF6:EI6)</f>
        <v>26709926.60000002</v>
      </c>
      <c r="EW6" s="37">
        <f>VLOOKUP($A6,[7]Totals!$A6:$F57,4,FALSE)-SUM(EJ6:EM6)</f>
        <v>27473059.649999972</v>
      </c>
      <c r="EX6" s="37">
        <f>VLOOKUP($A6,[7]Totals!$A6:$F57,5,FALSE)-SUM(EN6:EQ6)</f>
        <v>33701416.870000042</v>
      </c>
      <c r="EY6" s="37">
        <f>VLOOKUP($A6,[7]Totals!$A6:$F57,6,FALSE)-SUM(ER6:EU6)</f>
        <v>31949215.20000001</v>
      </c>
      <c r="EZ6" s="52">
        <f t="shared" si="2"/>
        <v>20826.940669177464</v>
      </c>
      <c r="FA6" s="52">
        <f t="shared" si="3"/>
        <v>21743.616660071209</v>
      </c>
      <c r="FB6" s="52">
        <f t="shared" si="4"/>
        <v>26673.908845551145</v>
      </c>
      <c r="FC6" s="52">
        <f t="shared" si="5"/>
        <v>25031.899963959451</v>
      </c>
      <c r="FD6" s="37">
        <f>VLOOKUP($A6,[8]Totals!$A$2:$F$54,3)-SUM(EF6:EI6)</f>
        <v>26143723.17000002</v>
      </c>
      <c r="FE6" s="37">
        <f>VLOOKUP($A6,[8]Totals!$A$2:$F$54,4)-SUM(EJ6:EM6)</f>
        <v>26940586.679999974</v>
      </c>
      <c r="FF6" s="37">
        <f>VLOOKUP($A6,[8]Totals!$A$2:$F$54,5)-SUM(EN6:EQ6)</f>
        <v>32124906.050000031</v>
      </c>
      <c r="FG6" s="37">
        <f>VLOOKUP($A6,[8]Totals!$A$2:$F$54,6)-SUM(ER6:EU6)</f>
        <v>30664634.63000001</v>
      </c>
      <c r="FH6" s="52">
        <f t="shared" si="6"/>
        <v>20385.446185875713</v>
      </c>
      <c r="FI6" s="52">
        <f t="shared" si="7"/>
        <v>21322.189695290839</v>
      </c>
      <c r="FJ6" s="52">
        <f t="shared" si="8"/>
        <v>25426.136205340918</v>
      </c>
      <c r="FK6" s="52">
        <f t="shared" si="9"/>
        <v>24025.443557359329</v>
      </c>
      <c r="FL6" s="37">
        <f>VLOOKUP($A6,[9]Totals!$A$3:$F$54,3)-SUM(EF6:EI6)</f>
        <v>23619687.78000002</v>
      </c>
      <c r="FM6" s="37">
        <f>VLOOKUP($A6,[9]Totals!$A$3:$F$54,4)-SUM(EJ6:EM6)</f>
        <v>23352981.789999973</v>
      </c>
      <c r="FN6" s="37">
        <f>VLOOKUP($A6,[9]Totals!$A$3:$F$54,5)-SUM(EN6:EQ6)</f>
        <v>25516407.040000025</v>
      </c>
      <c r="FO6" s="37">
        <f>VLOOKUP($A6,[9]Totals!$A$3:$F$54,6)-SUM(ER6:EU6)</f>
        <v>25986272.400000025</v>
      </c>
      <c r="FP6" s="52">
        <f t="shared" si="10"/>
        <v>18417.341364710304</v>
      </c>
      <c r="FQ6" s="52">
        <f t="shared" si="11"/>
        <v>18482.771499802115</v>
      </c>
      <c r="FR6" s="52">
        <f t="shared" si="12"/>
        <v>20195.658778275552</v>
      </c>
      <c r="FS6" s="52">
        <f t="shared" si="13"/>
        <v>20359.99216509709</v>
      </c>
      <c r="FT6" s="37">
        <f>VLOOKUP($A6,[10]Calculations!$AF$3:$AJ$54,2,FALSE)-EI6</f>
        <v>5124056.55</v>
      </c>
      <c r="FU6" s="37">
        <f>VLOOKUP($A6,[10]Calculations!$AF$3:$AJ$54,3,FALSE)-EM6</f>
        <v>4573535.080000001</v>
      </c>
      <c r="FV6" s="37">
        <f>VLOOKUP($A6,[10]Calculations!$AF$3:$AJ$54,4,FALSE)-EQ6</f>
        <v>5302716.8199999994</v>
      </c>
      <c r="FW6" s="37">
        <f>VLOOKUP($A6,[10]Calculations!$AF$3:$AJ$54,5,FALSE)-EU6</f>
        <v>5477806.5263207546</v>
      </c>
      <c r="FX6" s="52">
        <f t="shared" si="14"/>
        <v>22572.936343612335</v>
      </c>
      <c r="FY6" s="52">
        <f t="shared" si="15"/>
        <v>22529.729458128084</v>
      </c>
      <c r="FZ6" s="52">
        <f t="shared" si="16"/>
        <v>25012.815188679244</v>
      </c>
      <c r="GA6" s="52">
        <f t="shared" si="17"/>
        <v>25012.815188679244</v>
      </c>
    </row>
    <row r="7" spans="1:183" ht="15.75" x14ac:dyDescent="0.25">
      <c r="A7" s="66" t="s">
        <v>232</v>
      </c>
      <c r="B7" s="66" t="s">
        <v>233</v>
      </c>
      <c r="C7" s="67">
        <v>4</v>
      </c>
      <c r="D7" s="68" t="s">
        <v>231</v>
      </c>
      <c r="E7">
        <v>10</v>
      </c>
      <c r="F7" s="27">
        <v>3033</v>
      </c>
      <c r="G7" s="27">
        <v>2965</v>
      </c>
      <c r="H7" s="27">
        <v>3371</v>
      </c>
      <c r="I7" s="27">
        <v>3291</v>
      </c>
      <c r="J7" s="23">
        <v>330</v>
      </c>
      <c r="K7" s="23">
        <v>250</v>
      </c>
      <c r="L7" s="23">
        <v>315</v>
      </c>
      <c r="M7" s="23">
        <v>345</v>
      </c>
      <c r="N7" s="27">
        <v>2703</v>
      </c>
      <c r="O7" s="27">
        <v>2715</v>
      </c>
      <c r="P7" s="27">
        <v>3056</v>
      </c>
      <c r="Q7" s="27">
        <v>2946</v>
      </c>
      <c r="R7" s="25">
        <f>VLOOKUP($A7,'ADM, LTADM'!$B:$L,2,FALSE)</f>
        <v>3508.78</v>
      </c>
      <c r="S7" s="25">
        <f>VLOOKUP($A7,'ADM, LTADM'!$B:$L,3,FALSE)</f>
        <v>3511.94</v>
      </c>
      <c r="T7" s="25">
        <f>VLOOKUP($A7,'ADM, LTADM'!$B:$L,4,FALSE)</f>
        <v>3381.6099999999956</v>
      </c>
      <c r="U7" s="25">
        <f>VLOOKUP($A7,'ADM, LTADM'!$B:$L,5,FALSE)</f>
        <v>3396.7200000000003</v>
      </c>
      <c r="V7" s="29">
        <f>VLOOKUP($A7,'ADM, LTADM'!$B:$L,7,FALSE)</f>
        <v>3540.7</v>
      </c>
      <c r="W7" s="29">
        <f>VLOOKUP($A7,'ADM, LTADM'!$B:$L,8,FALSE)</f>
        <v>3520.4199999999996</v>
      </c>
      <c r="X7" s="29">
        <f>VLOOKUP($A7,'ADM, LTADM'!$B:$L,9,FALSE)</f>
        <v>3458.71</v>
      </c>
      <c r="Y7" s="29">
        <f>VLOOKUP($A7,'ADM, LTADM'!$B:$L,10,FALSE)</f>
        <v>3398.5699999999997</v>
      </c>
      <c r="Z7" s="10">
        <v>3223.59</v>
      </c>
      <c r="AA7" s="10">
        <v>3199.81</v>
      </c>
      <c r="AB7" s="10">
        <v>3594.2</v>
      </c>
      <c r="AC7" s="10">
        <v>3543.6000000000004</v>
      </c>
      <c r="AD7" s="2">
        <v>0.5389941690962099</v>
      </c>
      <c r="AE7" s="2">
        <v>0.57427604362542306</v>
      </c>
      <c r="AF7" s="2">
        <v>0.62083745466534779</v>
      </c>
      <c r="AG7" s="2">
        <v>0.4898093359631821</v>
      </c>
      <c r="AH7" s="2">
        <f t="shared" si="0"/>
        <v>0.57803588912899351</v>
      </c>
      <c r="AI7" s="46">
        <f>VLOOKUP(A7,'[1]SU_SD IDEA 3-21'!$A:$B,2,FALSE)</f>
        <v>664</v>
      </c>
      <c r="AJ7" s="46">
        <f>VLOOKUP(A7,'[2]SU_SD IDEA 3-21'!$A:$B,2,FALSE)</f>
        <v>653</v>
      </c>
      <c r="AK7" s="46">
        <f>VLOOKUP(A7,'[3]SU_SD IDEA 3-21'!$A:$B,2,FALSE)</f>
        <v>742</v>
      </c>
      <c r="AL7" s="46">
        <f>VLOOKUP($A7,'[4]SU_SD IDEA 3-21'!$A:$B,2,FALSE)</f>
        <v>751</v>
      </c>
      <c r="AM7" s="22">
        <f t="shared" si="18"/>
        <v>0.18923956474900105</v>
      </c>
      <c r="AN7" s="22">
        <f t="shared" si="19"/>
        <v>0.18593711737672056</v>
      </c>
      <c r="AO7" s="22">
        <f t="shared" si="20"/>
        <v>0.21942210958685388</v>
      </c>
      <c r="AP7" s="22">
        <f t="shared" si="21"/>
        <v>0.22109564521067382</v>
      </c>
      <c r="AQ7" s="26" t="s">
        <v>222</v>
      </c>
      <c r="AR7" s="26" t="s">
        <v>222</v>
      </c>
      <c r="AS7" s="26" t="s">
        <v>222</v>
      </c>
      <c r="AT7" s="26">
        <v>3.9447731755424065E-3</v>
      </c>
      <c r="AU7" s="2">
        <v>0.35008103727714751</v>
      </c>
      <c r="AV7" s="2">
        <v>0.45015105740181272</v>
      </c>
      <c r="AW7" s="2">
        <v>0.40816326530612246</v>
      </c>
      <c r="AX7" s="2">
        <v>0.40271186440677964</v>
      </c>
      <c r="AY7" s="2">
        <v>0.26136363636363635</v>
      </c>
      <c r="AZ7" s="2">
        <v>0.36786786786786785</v>
      </c>
      <c r="BA7" s="2">
        <v>0.25641025641025639</v>
      </c>
      <c r="BB7" s="2">
        <v>0.30873392010832768</v>
      </c>
      <c r="BC7" s="2">
        <v>0.26865671641791045</v>
      </c>
      <c r="BD7" s="2" t="s">
        <v>222</v>
      </c>
      <c r="BE7" s="2" t="s">
        <v>222</v>
      </c>
      <c r="BF7" s="8">
        <v>0.27</v>
      </c>
      <c r="BG7" s="2">
        <v>0.12935323383084577</v>
      </c>
      <c r="BH7" s="2" t="s">
        <v>222</v>
      </c>
      <c r="BI7" s="2" t="s">
        <v>222</v>
      </c>
      <c r="BJ7" s="8">
        <v>0.13</v>
      </c>
      <c r="BK7" s="31">
        <f>VLOOKUP($A7,[5]FY20!$W:$AF,7,FALSE)</f>
        <v>9.6862745098039191</v>
      </c>
      <c r="BL7" s="31">
        <f>VLOOKUP($A7,[5]FY20!$W:$AF,8,FALSE)</f>
        <v>0.88790233074361824</v>
      </c>
      <c r="BM7" s="31">
        <f>VLOOKUP($A7,[5]FY20!$W:$AF,9,FALSE)</f>
        <v>2.1790603033666298</v>
      </c>
      <c r="BN7" s="31">
        <f>VLOOKUP($A7,[5]FY20!$W:$AF,10,FALSE)</f>
        <v>4.8864224935257123</v>
      </c>
      <c r="BO7" s="55">
        <f>VLOOKUP($A7,[5]FY21!$W:$AF,7,FALSE)</f>
        <v>9.2788213627992633</v>
      </c>
      <c r="BP7" s="55">
        <f>VLOOKUP($A7,[5]FY21!$W:$AF,8,FALSE)</f>
        <v>0.88397790055248626</v>
      </c>
      <c r="BQ7" s="55">
        <f>VLOOKUP($A7,[5]FY21!$W:$AF,9,FALSE)</f>
        <v>2.2062615101289134</v>
      </c>
      <c r="BR7" s="55">
        <f>VLOOKUP($A7,[5]FY21!$W:$AF,10,FALSE)</f>
        <v>4.9753222836095761</v>
      </c>
      <c r="BS7" s="31">
        <f>VLOOKUP($A7,[5]FY22!$W:$AF,7,FALSE)</f>
        <v>9.1488874345549718</v>
      </c>
      <c r="BT7" s="31">
        <f>VLOOKUP($A7,[5]FY22!$W:$AF,8,FALSE)</f>
        <v>0.88350785340314142</v>
      </c>
      <c r="BU7" s="31">
        <f>VLOOKUP($A7,[5]FY22!$W:$AF,9,FALSE)</f>
        <v>2.4214659685863875</v>
      </c>
      <c r="BV7" s="31">
        <f>VLOOKUP($A7,[5]FY22!$W:$AF,10,FALSE)</f>
        <v>5.5412303664921465</v>
      </c>
      <c r="BW7" s="55">
        <f>VLOOKUP($A7,[5]FY23!$W:$AF,7,FALSE)</f>
        <v>9.4409368635437882</v>
      </c>
      <c r="BX7" s="55">
        <f>VLOOKUP($A7,[5]FY23!$W:$AF,8,FALSE)</f>
        <v>0.95044127630685671</v>
      </c>
      <c r="BY7" s="55">
        <f>VLOOKUP($A7,[5]FY23!$W:$AF,9,FALSE)</f>
        <v>2.4782756279701288</v>
      </c>
      <c r="BZ7" s="55">
        <f>VLOOKUP($A7,[5]FY23!$W:$AF,10,FALSE)</f>
        <v>5.5101832993890012</v>
      </c>
      <c r="CA7" s="37">
        <f>VLOOKUP($A7,[5]FY20!$W:$AF,3,FALSE)</f>
        <v>56709.269574516846</v>
      </c>
      <c r="CB7" s="37">
        <f>VLOOKUP($A7,[5]FY20!$W:$AF,4,FALSE)</f>
        <v>96770.719166666662</v>
      </c>
      <c r="CC7" s="37">
        <f>VLOOKUP($A7,[5]FY20!$W:$AF,5,FALSE)</f>
        <v>56145.426655348056</v>
      </c>
      <c r="CD7" s="37">
        <f>VLOOKUP($A7,[5]FY20!$W:$AF,6,FALSE)</f>
        <v>45172.61159903089</v>
      </c>
      <c r="CE7" s="52">
        <f>VLOOKUP($A7,[5]FY21!$W:$AF,3,FALSE)</f>
        <v>55019.306644966666</v>
      </c>
      <c r="CF7" s="52">
        <f>VLOOKUP($A7,[5]FY21!$W:$AF,4,FALSE)</f>
        <v>96300.033750000002</v>
      </c>
      <c r="CG7" s="52">
        <f>VLOOKUP($A7,[5]FY21!$W:$AF,5,FALSE)</f>
        <v>57354.854090150242</v>
      </c>
      <c r="CH7" s="52">
        <f>VLOOKUP($A7,[5]FY21!$W:$AF,6,FALSE)</f>
        <v>44412.194477346769</v>
      </c>
      <c r="CI7" s="37">
        <f>VLOOKUP($A7,[5]FY22!$W:$AF,3,FALSE)</f>
        <v>60013.641367717028</v>
      </c>
      <c r="CJ7" s="37">
        <f>VLOOKUP($A7,[5]FY22!$W:$AF,4,FALSE)</f>
        <v>98285.608889074065</v>
      </c>
      <c r="CK7" s="37">
        <f>VLOOKUP($A7,[5]FY22!$W:$AF,5,FALSE)</f>
        <v>57167.049189189194</v>
      </c>
      <c r="CL7" s="37">
        <f>VLOOKUP($A7,[5]FY22!$W:$AF,6,FALSE)</f>
        <v>44929.86795824967</v>
      </c>
      <c r="CM7" s="52">
        <f>VLOOKUP($A7,[5]FY23!$W:$AF,3,FALSE)</f>
        <v>61972.029662388093</v>
      </c>
      <c r="CN7" s="52">
        <f>VLOOKUP($A7,[5]FY23!$W:$AF,4,FALSE)</f>
        <v>100333.51821428568</v>
      </c>
      <c r="CO7" s="52">
        <f>VLOOKUP($A7,[5]FY23!$W:$AF,5,FALSE)</f>
        <v>60432.832899602778</v>
      </c>
      <c r="CP7" s="52">
        <f>VLOOKUP($A7,[5]FY23!$W:$AF,6,FALSE)</f>
        <v>47281.337399125237</v>
      </c>
      <c r="CQ7" s="5">
        <v>0.78300000000000003</v>
      </c>
      <c r="CR7" s="4">
        <v>0.82399999999999995</v>
      </c>
      <c r="CS7" s="4">
        <v>0.75700000000000001</v>
      </c>
      <c r="CT7" s="4">
        <v>0.84</v>
      </c>
      <c r="CU7" s="4">
        <v>0.755</v>
      </c>
      <c r="CV7" s="4">
        <v>0.83</v>
      </c>
      <c r="CW7" s="4">
        <v>0.75900000000000001</v>
      </c>
      <c r="CX7" s="4">
        <v>0.76800000000000002</v>
      </c>
      <c r="CY7" t="s">
        <v>223</v>
      </c>
      <c r="CZ7" t="s">
        <v>223</v>
      </c>
      <c r="DA7" t="s">
        <v>223</v>
      </c>
      <c r="DB7">
        <v>0</v>
      </c>
      <c r="DC7">
        <v>0</v>
      </c>
      <c r="DD7">
        <v>7</v>
      </c>
      <c r="DE7">
        <v>0</v>
      </c>
      <c r="DF7">
        <v>3</v>
      </c>
      <c r="DG7">
        <v>0</v>
      </c>
      <c r="DH7">
        <v>0</v>
      </c>
      <c r="DI7">
        <v>8</v>
      </c>
      <c r="DJ7">
        <v>0</v>
      </c>
      <c r="DK7">
        <v>2</v>
      </c>
      <c r="DL7">
        <v>0</v>
      </c>
      <c r="DM7">
        <v>1</v>
      </c>
      <c r="DN7">
        <v>1</v>
      </c>
      <c r="DO7">
        <v>4</v>
      </c>
      <c r="DP7">
        <v>0</v>
      </c>
      <c r="DQ7" s="5">
        <v>0</v>
      </c>
      <c r="DR7" s="5">
        <v>0</v>
      </c>
      <c r="DS7" s="5">
        <v>0.7</v>
      </c>
      <c r="DT7" s="5">
        <v>0</v>
      </c>
      <c r="DU7" s="5">
        <v>0.3</v>
      </c>
      <c r="DV7" s="5">
        <v>0</v>
      </c>
      <c r="DW7" s="5">
        <v>0</v>
      </c>
      <c r="DX7" s="5">
        <v>0.8</v>
      </c>
      <c r="DY7" s="5">
        <v>0</v>
      </c>
      <c r="DZ7" s="5">
        <v>0.2</v>
      </c>
      <c r="EA7" s="5">
        <v>0</v>
      </c>
      <c r="EB7" s="5">
        <v>0.1</v>
      </c>
      <c r="EC7" s="5">
        <v>0.1</v>
      </c>
      <c r="ED7" s="5">
        <v>0.4</v>
      </c>
      <c r="EE7" s="5">
        <v>0</v>
      </c>
      <c r="EF7" s="36">
        <f>VLOOKUP($A7,'[6]Updated (2)'!$A$2:$Q$54,2,FALSE)</f>
        <v>135300</v>
      </c>
      <c r="EG7" s="36">
        <f>VLOOKUP($A7,'[6]Updated (2)'!$A$2:$Q$54,3,FALSE)</f>
        <v>0</v>
      </c>
      <c r="EH7" s="36">
        <f>VLOOKUP($A7,'[6]Updated (2)'!$A$2:$Q$54,4,FALSE)</f>
        <v>0</v>
      </c>
      <c r="EI7" s="36">
        <f>VLOOKUP($A7,'[6]Updated (2)'!$A$2:$Q$54,5,FALSE)</f>
        <v>0</v>
      </c>
      <c r="EJ7" s="48">
        <f>VLOOKUP($A7,'[6]Updated (2)'!$A$2:$Q$54,6,FALSE)</f>
        <v>210853</v>
      </c>
      <c r="EK7" s="48">
        <f>VLOOKUP($A7,'[6]Updated (2)'!$A$2:$Q$54,7,FALSE)</f>
        <v>0</v>
      </c>
      <c r="EL7" s="48">
        <f>VLOOKUP($A7,'[6]Updated (2)'!$A$2:$Q$54,8,FALSE)</f>
        <v>0</v>
      </c>
      <c r="EM7" s="48">
        <f>VLOOKUP($A7,'[6]Updated (2)'!$A$2:$Q$54,9,FALSE)</f>
        <v>0</v>
      </c>
      <c r="EN7" s="36">
        <f>VLOOKUP($A7,'[6]Updated (2)'!$A$2:$Q$54,10,FALSE)</f>
        <v>744496</v>
      </c>
      <c r="EO7" s="36">
        <f>VLOOKUP($A7,'[6]Updated (2)'!$A$2:$Q$54,11,FALSE)</f>
        <v>0</v>
      </c>
      <c r="EP7" s="36">
        <f>VLOOKUP($A7,'[6]Updated (2)'!$A$2:$Q$54,12,FALSE)</f>
        <v>0</v>
      </c>
      <c r="EQ7" s="36">
        <f>VLOOKUP($A7,'[6]Updated (2)'!$A$2:$Q$54,13,FALSE)</f>
        <v>0</v>
      </c>
      <c r="ER7" s="48">
        <f>VLOOKUP($A7,'[6]Updated (2)'!$A$2:$Q$54,14,FALSE)</f>
        <v>737107</v>
      </c>
      <c r="ES7" s="48">
        <f>VLOOKUP($A7,'[6]Updated (2)'!$A$2:$Q$54,15,FALSE)</f>
        <v>0</v>
      </c>
      <c r="ET7" s="48">
        <f>VLOOKUP($A7,'[6]Updated (2)'!$A$2:$Q$54,16,FALSE)</f>
        <v>0</v>
      </c>
      <c r="EU7" s="48">
        <f>VLOOKUP($A7,'[6]Updated (2)'!$A$2:$Q$54,17,FALSE)</f>
        <v>0</v>
      </c>
      <c r="EV7" s="37">
        <f>VLOOKUP($A7,[7]Totals!$A7:$F58,3,FALSE)-SUM(EF7:EI7)</f>
        <v>63729391.889999934</v>
      </c>
      <c r="EW7" s="37">
        <f>VLOOKUP($A7,[7]Totals!$A7:$F58,4,FALSE)-SUM(EJ7:EM7)</f>
        <v>62950433.240000024</v>
      </c>
      <c r="EX7" s="37">
        <f>VLOOKUP($A7,[7]Totals!$A7:$F58,5,FALSE)-SUM(EN7:EQ7)</f>
        <v>78579828.170000106</v>
      </c>
      <c r="EY7" s="37">
        <f>VLOOKUP($A7,[7]Totals!$A7:$F58,6,FALSE)-SUM(ER7:EU7)</f>
        <v>83510733.280000106</v>
      </c>
      <c r="EZ7" s="52">
        <f t="shared" si="2"/>
        <v>17999.093933402983</v>
      </c>
      <c r="FA7" s="52">
        <f t="shared" si="3"/>
        <v>17881.512217292264</v>
      </c>
      <c r="FB7" s="52">
        <f t="shared" si="4"/>
        <v>22719.403526170194</v>
      </c>
      <c r="FC7" s="52">
        <f t="shared" si="5"/>
        <v>24572.315203159007</v>
      </c>
      <c r="FD7" s="37">
        <f>VLOOKUP($A7,[8]Totals!$A$2:$F$54,3)-SUM(EF7:EI7)</f>
        <v>64151232.769999929</v>
      </c>
      <c r="FE7" s="37">
        <f>VLOOKUP($A7,[8]Totals!$A$2:$F$54,4)-SUM(EJ7:EM7)</f>
        <v>63306317.590000018</v>
      </c>
      <c r="FF7" s="37">
        <f>VLOOKUP($A7,[8]Totals!$A$2:$F$54,5)-SUM(EN7:EQ7)</f>
        <v>78473661.490000114</v>
      </c>
      <c r="FG7" s="37">
        <f>VLOOKUP($A7,[8]Totals!$A$2:$F$54,6)-SUM(ER7:EU7)</f>
        <v>83349359.200000077</v>
      </c>
      <c r="FH7" s="52">
        <f t="shared" si="6"/>
        <v>18118.234464936293</v>
      </c>
      <c r="FI7" s="52">
        <f t="shared" si="7"/>
        <v>17982.603663767397</v>
      </c>
      <c r="FJ7" s="52">
        <f t="shared" si="8"/>
        <v>22688.70807034996</v>
      </c>
      <c r="FK7" s="52">
        <f t="shared" si="9"/>
        <v>24524.832267689082</v>
      </c>
      <c r="FL7" s="37">
        <f>VLOOKUP($A7,[9]Totals!$A$3:$F$54,3)-SUM(EF7:EI7)</f>
        <v>54033174.039999925</v>
      </c>
      <c r="FM7" s="37">
        <f>VLOOKUP($A7,[9]Totals!$A$3:$F$54,4)-SUM(EJ7:EM7)</f>
        <v>52110114.640000001</v>
      </c>
      <c r="FN7" s="37">
        <f>VLOOKUP($A7,[9]Totals!$A$3:$F$54,5)-SUM(EN7:EQ7)</f>
        <v>65125594.960000053</v>
      </c>
      <c r="FO7" s="37">
        <f>VLOOKUP($A7,[9]Totals!$A$3:$F$54,6)-SUM(ER7:EU7)</f>
        <v>67114931.61999999</v>
      </c>
      <c r="FP7" s="52">
        <f t="shared" si="10"/>
        <v>15260.590854915674</v>
      </c>
      <c r="FQ7" s="52">
        <f t="shared" si="11"/>
        <v>14802.243664108262</v>
      </c>
      <c r="FR7" s="52">
        <f t="shared" si="12"/>
        <v>18829.446516186686</v>
      </c>
      <c r="FS7" s="52">
        <f t="shared" si="13"/>
        <v>19747.991543502118</v>
      </c>
      <c r="FT7" s="37">
        <f>VLOOKUP($A7,[10]Calculations!$AF$3:$AJ$54,2,FALSE)-EI7</f>
        <v>16159131.739999995</v>
      </c>
      <c r="FU7" s="37">
        <f>VLOOKUP($A7,[10]Calculations!$AF$3:$AJ$54,3,FALSE)-EM7</f>
        <v>15491901.899999997</v>
      </c>
      <c r="FV7" s="37">
        <f>VLOOKUP($A7,[10]Calculations!$AF$3:$AJ$54,4,FALSE)-EQ7</f>
        <v>18594752.149999991</v>
      </c>
      <c r="FW7" s="37">
        <f>VLOOKUP($A7,[10]Calculations!$AF$3:$AJ$54,5,FALSE)-EU7</f>
        <v>18820294.965835571</v>
      </c>
      <c r="FX7" s="52">
        <f t="shared" si="14"/>
        <v>24336.041777108425</v>
      </c>
      <c r="FY7" s="52">
        <f t="shared" si="15"/>
        <v>23724.198928024496</v>
      </c>
      <c r="FZ7" s="52">
        <f t="shared" si="16"/>
        <v>25060.312870619935</v>
      </c>
      <c r="GA7" s="52">
        <f t="shared" si="17"/>
        <v>25060.312870619935</v>
      </c>
    </row>
    <row r="8" spans="1:183" ht="15.75" x14ac:dyDescent="0.25">
      <c r="A8" s="66" t="s">
        <v>234</v>
      </c>
      <c r="B8" s="66" t="s">
        <v>235</v>
      </c>
      <c r="C8" s="67">
        <v>2</v>
      </c>
      <c r="D8" s="68" t="s">
        <v>231</v>
      </c>
      <c r="E8">
        <v>6</v>
      </c>
      <c r="F8" s="27">
        <v>1300</v>
      </c>
      <c r="G8" s="27">
        <v>1211</v>
      </c>
      <c r="H8" s="27">
        <v>1159</v>
      </c>
      <c r="I8" s="27">
        <v>1150</v>
      </c>
      <c r="J8" s="23">
        <v>163</v>
      </c>
      <c r="K8" s="23">
        <v>123</v>
      </c>
      <c r="L8" s="23">
        <v>138</v>
      </c>
      <c r="M8" s="23">
        <v>141</v>
      </c>
      <c r="N8" s="27">
        <v>1137</v>
      </c>
      <c r="O8" s="27">
        <v>1088</v>
      </c>
      <c r="P8" s="27">
        <v>1021</v>
      </c>
      <c r="Q8" s="27">
        <v>1009</v>
      </c>
      <c r="R8" s="25">
        <f>VLOOKUP($A8,'ADM, LTADM'!$B:$L,2,FALSE)</f>
        <v>2217.3199999999997</v>
      </c>
      <c r="S8" s="25">
        <f>VLOOKUP($A8,'ADM, LTADM'!$B:$L,3,FALSE)</f>
        <v>2263.91</v>
      </c>
      <c r="T8" s="25">
        <f>VLOOKUP($A8,'ADM, LTADM'!$B:$L,4,FALSE)</f>
        <v>2174.1799999999994</v>
      </c>
      <c r="U8" s="25">
        <f>VLOOKUP($A8,'ADM, LTADM'!$B:$L,5,FALSE)</f>
        <v>2128.34</v>
      </c>
      <c r="V8" s="29">
        <f>VLOOKUP($A8,'ADM, LTADM'!$B:$L,7,FALSE)</f>
        <v>2236.81</v>
      </c>
      <c r="W8" s="29">
        <f>VLOOKUP($A8,'ADM, LTADM'!$B:$L,8,FALSE)</f>
        <v>2244.5499999999997</v>
      </c>
      <c r="X8" s="29">
        <f>VLOOKUP($A8,'ADM, LTADM'!$B:$L,9,FALSE)</f>
        <v>2225.96</v>
      </c>
      <c r="Y8" s="29">
        <f>VLOOKUP($A8,'ADM, LTADM'!$B:$L,10,FALSE)</f>
        <v>2157.3599999999997</v>
      </c>
      <c r="Z8" s="10">
        <v>2267.0500000000002</v>
      </c>
      <c r="AA8" s="10">
        <v>2248.79</v>
      </c>
      <c r="AB8" s="10">
        <v>2262.1799999999998</v>
      </c>
      <c r="AC8" s="10">
        <v>2256.5100000000002</v>
      </c>
      <c r="AD8" s="2">
        <v>0.34587813620071683</v>
      </c>
      <c r="AE8" s="2">
        <v>0.38994974874371857</v>
      </c>
      <c r="AF8" s="2">
        <v>0.37914230019493178</v>
      </c>
      <c r="AG8" s="2">
        <v>0.37151106833493747</v>
      </c>
      <c r="AH8" s="2">
        <f t="shared" si="0"/>
        <v>0.37165672837978908</v>
      </c>
      <c r="AI8" s="46">
        <f>VLOOKUP(A8,'[1]SU_SD IDEA 3-21'!$A:$B,2,FALSE)</f>
        <v>353</v>
      </c>
      <c r="AJ8" s="46">
        <f>VLOOKUP(A8,'[2]SU_SD IDEA 3-21'!$A:$B,2,FALSE)</f>
        <v>336</v>
      </c>
      <c r="AK8" s="46">
        <f>VLOOKUP(A8,'[3]SU_SD IDEA 3-21'!$A:$B,2,FALSE)</f>
        <v>337</v>
      </c>
      <c r="AL8" s="46">
        <f>VLOOKUP($A8,'[4]SU_SD IDEA 3-21'!$A:$B,2,FALSE)</f>
        <v>360</v>
      </c>
      <c r="AM8" s="22">
        <f t="shared" si="18"/>
        <v>0.15920119784244044</v>
      </c>
      <c r="AN8" s="22">
        <f t="shared" si="19"/>
        <v>0.14841579391406903</v>
      </c>
      <c r="AO8" s="22">
        <f t="shared" si="20"/>
        <v>0.15500096588138981</v>
      </c>
      <c r="AP8" s="22">
        <f t="shared" si="21"/>
        <v>0.16914590713889696</v>
      </c>
      <c r="AQ8" s="26">
        <v>9.8566308243727592E-3</v>
      </c>
      <c r="AR8" s="26">
        <v>1.3065326633165829E-2</v>
      </c>
      <c r="AS8" s="26">
        <v>2.3391812865497075E-2</v>
      </c>
      <c r="AT8" s="26">
        <v>2.3099133782483156E-2</v>
      </c>
      <c r="AU8" s="2">
        <v>0.53448275862068961</v>
      </c>
      <c r="AV8" s="2">
        <v>0.59530026109660572</v>
      </c>
      <c r="AW8" s="2">
        <v>0.56375838926174493</v>
      </c>
      <c r="AX8" s="2">
        <v>0.5639658848614072</v>
      </c>
      <c r="AY8" s="2">
        <v>0.46551724137931033</v>
      </c>
      <c r="AZ8" s="2">
        <v>0.4177545691906005</v>
      </c>
      <c r="BA8" s="2">
        <v>0.41610738255033558</v>
      </c>
      <c r="BB8" s="2">
        <v>0.43816631130063965</v>
      </c>
      <c r="BC8" s="2">
        <v>0.52142857142857146</v>
      </c>
      <c r="BD8" s="2">
        <v>0.62992125984251968</v>
      </c>
      <c r="BE8" s="2" t="s">
        <v>222</v>
      </c>
      <c r="BF8" s="8">
        <v>0.56999999999999995</v>
      </c>
      <c r="BG8" s="2">
        <v>0.45070422535211269</v>
      </c>
      <c r="BH8" s="2">
        <v>0.59842519685039375</v>
      </c>
      <c r="BI8" s="2" t="s">
        <v>222</v>
      </c>
      <c r="BJ8" s="8">
        <v>0.52</v>
      </c>
      <c r="BK8" s="31">
        <f>VLOOKUP($A8,[5]FY20!$W:$AF,7,FALSE)</f>
        <v>10.492524186455586</v>
      </c>
      <c r="BL8" s="31">
        <f>VLOOKUP($A8,[5]FY20!$W:$AF,8,FALSE)</f>
        <v>1.4160070360598065</v>
      </c>
      <c r="BM8" s="31">
        <f>VLOOKUP($A8,[5]FY20!$W:$AF,9,FALSE)</f>
        <v>4.4204045734388746</v>
      </c>
      <c r="BN8" s="31">
        <f>VLOOKUP($A8,[5]FY20!$W:$AF,10,FALSE)</f>
        <v>5.4995602462620932</v>
      </c>
      <c r="BO8" s="55">
        <f>VLOOKUP($A8,[5]FY21!$W:$AF,7,FALSE)</f>
        <v>10.557464834099264</v>
      </c>
      <c r="BP8" s="55">
        <f>VLOOKUP($A8,[5]FY21!$W:$AF,8,FALSE)</f>
        <v>1.3924632352941178</v>
      </c>
      <c r="BQ8" s="55">
        <f>VLOOKUP($A8,[5]FY21!$W:$AF,9,FALSE)</f>
        <v>4.1125919117647056</v>
      </c>
      <c r="BR8" s="55">
        <f>VLOOKUP($A8,[5]FY21!$W:$AF,10,FALSE)</f>
        <v>5.6295955882352944</v>
      </c>
      <c r="BS8" s="31">
        <f>VLOOKUP($A8,[5]FY22!$W:$AF,7,FALSE)</f>
        <v>10.928501469147896</v>
      </c>
      <c r="BT8" s="31">
        <f>VLOOKUP($A8,[5]FY22!$W:$AF,8,FALSE)</f>
        <v>1.762977473065622</v>
      </c>
      <c r="BU8" s="31">
        <f>VLOOKUP($A8,[5]FY22!$W:$AF,9,FALSE)</f>
        <v>4.9618021547502442</v>
      </c>
      <c r="BV8" s="31">
        <f>VLOOKUP($A8,[5]FY22!$W:$AF,10,FALSE)</f>
        <v>6.3888344760039173</v>
      </c>
      <c r="BW8" s="55">
        <f>VLOOKUP($A8,[5]FY23!$W:$AF,7,FALSE)</f>
        <v>11.481665014866202</v>
      </c>
      <c r="BX8" s="55">
        <f>VLOOKUP($A8,[5]FY23!$W:$AF,8,FALSE)</f>
        <v>1.7690782953419228</v>
      </c>
      <c r="BY8" s="55">
        <f>VLOOKUP($A8,[5]FY23!$W:$AF,9,FALSE)</f>
        <v>5.2229930624380572</v>
      </c>
      <c r="BZ8" s="55">
        <f>VLOOKUP($A8,[5]FY23!$W:$AF,10,FALSE)</f>
        <v>6.3726461843409314</v>
      </c>
      <c r="CA8" s="37">
        <f>VLOOKUP($A8,[5]FY20!$W:$AF,3,FALSE)</f>
        <v>61503.544844928751</v>
      </c>
      <c r="CB8" s="37">
        <f>VLOOKUP($A8,[5]FY20!$W:$AF,4,FALSE)</f>
        <v>91146.331055900606</v>
      </c>
      <c r="CC8" s="37">
        <f>VLOOKUP($A8,[5]FY20!$W:$AF,5,FALSE)</f>
        <v>50941.192996418598</v>
      </c>
      <c r="CD8" s="37">
        <f>VLOOKUP($A8,[5]FY20!$W:$AF,6,FALSE)</f>
        <v>44974.264193187264</v>
      </c>
      <c r="CE8" s="52">
        <f>VLOOKUP($A8,[5]FY21!$W:$AF,3,FALSE)</f>
        <v>63204.581549122828</v>
      </c>
      <c r="CF8" s="52">
        <f>VLOOKUP($A8,[5]FY21!$W:$AF,4,FALSE)</f>
        <v>81507.78877887789</v>
      </c>
      <c r="CG8" s="52">
        <f>VLOOKUP($A8,[5]FY21!$W:$AF,5,FALSE)</f>
        <v>53175.863224941335</v>
      </c>
      <c r="CH8" s="52">
        <f>VLOOKUP($A8,[5]FY21!$W:$AF,6,FALSE)</f>
        <v>46973.926530612247</v>
      </c>
      <c r="CI8" s="37">
        <f>VLOOKUP($A8,[5]FY22!$W:$AF,3,FALSE)</f>
        <v>64942.211865925783</v>
      </c>
      <c r="CJ8" s="37">
        <f>VLOOKUP($A8,[5]FY22!$W:$AF,4,FALSE)</f>
        <v>86203.277777777781</v>
      </c>
      <c r="CK8" s="37">
        <f>VLOOKUP($A8,[5]FY22!$W:$AF,5,FALSE)</f>
        <v>50302.191077773394</v>
      </c>
      <c r="CL8" s="37">
        <f>VLOOKUP($A8,[5]FY22!$W:$AF,6,FALSE)</f>
        <v>47535.183197915074</v>
      </c>
      <c r="CM8" s="52">
        <f>VLOOKUP($A8,[5]FY23!$W:$AF,3,FALSE)</f>
        <v>64050.755287009073</v>
      </c>
      <c r="CN8" s="52">
        <f>VLOOKUP($A8,[5]FY23!$W:$AF,4,FALSE)</f>
        <v>97396.694677871143</v>
      </c>
      <c r="CO8" s="52">
        <f>VLOOKUP($A8,[5]FY23!$W:$AF,5,FALSE)</f>
        <v>48802.125237191649</v>
      </c>
      <c r="CP8" s="52">
        <f>VLOOKUP($A8,[5]FY23!$W:$AF,6,FALSE)</f>
        <v>52224.665629860036</v>
      </c>
      <c r="CQ8" s="5" t="s">
        <v>222</v>
      </c>
      <c r="CR8" s="4" t="s">
        <v>222</v>
      </c>
      <c r="CS8" s="4" t="s">
        <v>222</v>
      </c>
      <c r="CT8" s="4" t="s">
        <v>222</v>
      </c>
      <c r="CU8" s="4" t="s">
        <v>222</v>
      </c>
      <c r="CV8" s="4" t="s">
        <v>222</v>
      </c>
      <c r="CW8" s="4" t="s">
        <v>222</v>
      </c>
      <c r="CX8" s="4" t="s">
        <v>222</v>
      </c>
      <c r="CY8" t="s">
        <v>223</v>
      </c>
      <c r="CZ8" t="s">
        <v>223</v>
      </c>
      <c r="DA8" t="s">
        <v>228</v>
      </c>
      <c r="DB8">
        <v>0</v>
      </c>
      <c r="DC8">
        <v>1</v>
      </c>
      <c r="DD8">
        <v>2</v>
      </c>
      <c r="DE8">
        <v>0</v>
      </c>
      <c r="DF8">
        <v>3</v>
      </c>
      <c r="DG8">
        <v>0</v>
      </c>
      <c r="DH8">
        <v>2</v>
      </c>
      <c r="DI8">
        <v>2</v>
      </c>
      <c r="DJ8">
        <v>0</v>
      </c>
      <c r="DK8">
        <v>2</v>
      </c>
      <c r="DL8">
        <v>0</v>
      </c>
      <c r="DM8">
        <v>2</v>
      </c>
      <c r="DN8">
        <v>2</v>
      </c>
      <c r="DO8">
        <v>0</v>
      </c>
      <c r="DP8">
        <v>0</v>
      </c>
      <c r="DQ8" s="5">
        <v>0</v>
      </c>
      <c r="DR8" s="5">
        <v>0.16700000000000001</v>
      </c>
      <c r="DS8" s="5">
        <v>0.33300000000000002</v>
      </c>
      <c r="DT8" s="5">
        <v>0</v>
      </c>
      <c r="DU8" s="5">
        <v>0.5</v>
      </c>
      <c r="DV8" s="5">
        <v>0</v>
      </c>
      <c r="DW8" s="5">
        <v>0.33300000000000002</v>
      </c>
      <c r="DX8" s="5">
        <v>0.33300000000000002</v>
      </c>
      <c r="DY8" s="5">
        <v>0</v>
      </c>
      <c r="DZ8" s="5">
        <v>0.33300000000000002</v>
      </c>
      <c r="EA8" s="5">
        <v>0</v>
      </c>
      <c r="EB8" s="5">
        <v>0.33300000000000002</v>
      </c>
      <c r="EC8" s="5">
        <v>0.33300000000000002</v>
      </c>
      <c r="ED8" s="5">
        <v>0</v>
      </c>
      <c r="EE8" s="5">
        <v>0</v>
      </c>
      <c r="EF8" s="36">
        <f>VLOOKUP($A8,'[6]Updated (2)'!$A$2:$Q$54,2,FALSE)</f>
        <v>447271</v>
      </c>
      <c r="EG8" s="36">
        <f>VLOOKUP($A8,'[6]Updated (2)'!$A$2:$Q$54,3,FALSE)</f>
        <v>0</v>
      </c>
      <c r="EH8" s="36">
        <f>VLOOKUP($A8,'[6]Updated (2)'!$A$2:$Q$54,4,FALSE)</f>
        <v>12677</v>
      </c>
      <c r="EI8" s="36">
        <f>VLOOKUP($A8,'[6]Updated (2)'!$A$2:$Q$54,5,FALSE)</f>
        <v>150599</v>
      </c>
      <c r="EJ8" s="48">
        <f>VLOOKUP($A8,'[6]Updated (2)'!$A$2:$Q$54,6,FALSE)</f>
        <v>398147</v>
      </c>
      <c r="EK8" s="48">
        <f>VLOOKUP($A8,'[6]Updated (2)'!$A$2:$Q$54,7,FALSE)</f>
        <v>0</v>
      </c>
      <c r="EL8" s="48">
        <f>VLOOKUP($A8,'[6]Updated (2)'!$A$2:$Q$54,8,FALSE)</f>
        <v>418828</v>
      </c>
      <c r="EM8" s="48">
        <f>VLOOKUP($A8,'[6]Updated (2)'!$A$2:$Q$54,9,FALSE)</f>
        <v>74735</v>
      </c>
      <c r="EN8" s="36">
        <f>VLOOKUP($A8,'[6]Updated (2)'!$A$2:$Q$54,10,FALSE)</f>
        <v>0</v>
      </c>
      <c r="EO8" s="36">
        <f>VLOOKUP($A8,'[6]Updated (2)'!$A$2:$Q$54,11,FALSE)</f>
        <v>0</v>
      </c>
      <c r="EP8" s="36">
        <f>VLOOKUP($A8,'[6]Updated (2)'!$A$2:$Q$54,12,FALSE)</f>
        <v>53290</v>
      </c>
      <c r="EQ8" s="36">
        <f>VLOOKUP($A8,'[6]Updated (2)'!$A$2:$Q$54,13,FALSE)</f>
        <v>62743</v>
      </c>
      <c r="ER8" s="48">
        <f>VLOOKUP($A8,'[6]Updated (2)'!$A$2:$Q$54,14,FALSE)</f>
        <v>0</v>
      </c>
      <c r="ES8" s="48">
        <f>VLOOKUP($A8,'[6]Updated (2)'!$A$2:$Q$54,15,FALSE)</f>
        <v>0</v>
      </c>
      <c r="ET8" s="48">
        <f>VLOOKUP($A8,'[6]Updated (2)'!$A$2:$Q$54,16,FALSE)</f>
        <v>0</v>
      </c>
      <c r="EU8" s="48">
        <f>VLOOKUP($A8,'[6]Updated (2)'!$A$2:$Q$54,17,FALSE)</f>
        <v>0</v>
      </c>
      <c r="EV8" s="37">
        <f>VLOOKUP($A8,[7]Totals!$A8:$F59,3,FALSE)-SUM(EF8:EI8)</f>
        <v>49254630.140000008</v>
      </c>
      <c r="EW8" s="37">
        <f>VLOOKUP($A8,[7]Totals!$A8:$F59,4,FALSE)-SUM(EJ8:EM8)</f>
        <v>50197900.309999935</v>
      </c>
      <c r="EX8" s="37">
        <f>VLOOKUP($A8,[7]Totals!$A8:$F59,5,FALSE)-SUM(EN8:EQ8)</f>
        <v>53246496.04999993</v>
      </c>
      <c r="EY8" s="37">
        <f>VLOOKUP($A8,[7]Totals!$A8:$F59,6,FALSE)-SUM(ER8:EU8)</f>
        <v>54493918.520000063</v>
      </c>
      <c r="EZ8" s="52">
        <f t="shared" si="2"/>
        <v>22020.033056003867</v>
      </c>
      <c r="FA8" s="52">
        <f t="shared" si="3"/>
        <v>22364.349339511235</v>
      </c>
      <c r="FB8" s="52">
        <f t="shared" si="4"/>
        <v>23920.688624234008</v>
      </c>
      <c r="FC8" s="52">
        <f t="shared" si="5"/>
        <v>25259.538751066149</v>
      </c>
      <c r="FD8" s="37">
        <f>VLOOKUP($A8,[8]Totals!$A$2:$F$54,3)-SUM(EF8:EI8)</f>
        <v>49221252.960000023</v>
      </c>
      <c r="FE8" s="37">
        <f>VLOOKUP($A8,[8]Totals!$A$2:$F$54,4)-SUM(EJ8:EM8)</f>
        <v>50185354.329999939</v>
      </c>
      <c r="FF8" s="37">
        <f>VLOOKUP($A8,[8]Totals!$A$2:$F$54,5)-SUM(EN8:EQ8)</f>
        <v>53243309.609999932</v>
      </c>
      <c r="FG8" s="37">
        <f>VLOOKUP($A8,[8]Totals!$A$2:$F$54,6)-SUM(ER8:EU8)</f>
        <v>54493918.520000063</v>
      </c>
      <c r="FH8" s="52">
        <f t="shared" si="6"/>
        <v>22005.111279008957</v>
      </c>
      <c r="FI8" s="52">
        <f t="shared" si="7"/>
        <v>22358.759809315874</v>
      </c>
      <c r="FJ8" s="52">
        <f t="shared" si="8"/>
        <v>23919.257134000582</v>
      </c>
      <c r="FK8" s="52">
        <f t="shared" si="9"/>
        <v>25259.538751066149</v>
      </c>
      <c r="FL8" s="37">
        <f>VLOOKUP($A8,[9]Totals!$A$3:$F$54,3)-SUM(EF8:EI8)</f>
        <v>46909965.93000003</v>
      </c>
      <c r="FM8" s="37">
        <f>VLOOKUP($A8,[9]Totals!$A$3:$F$54,4)-SUM(EJ8:EM8)</f>
        <v>46372058.759999953</v>
      </c>
      <c r="FN8" s="37">
        <f>VLOOKUP($A8,[9]Totals!$A$3:$F$54,5)-SUM(EN8:EQ8)</f>
        <v>49447177.259999923</v>
      </c>
      <c r="FO8" s="37">
        <f>VLOOKUP($A8,[9]Totals!$A$3:$F$54,6)-SUM(ER8:EU8)</f>
        <v>49607379.070000038</v>
      </c>
      <c r="FP8" s="52">
        <f t="shared" si="10"/>
        <v>20971.815187700355</v>
      </c>
      <c r="FQ8" s="52">
        <f t="shared" si="11"/>
        <v>20659.846632955363</v>
      </c>
      <c r="FR8" s="52">
        <f t="shared" si="12"/>
        <v>22213.866044313429</v>
      </c>
      <c r="FS8" s="52">
        <f t="shared" si="13"/>
        <v>22994.483567879281</v>
      </c>
      <c r="FT8" s="37">
        <f>VLOOKUP($A8,[10]Calculations!$AF$3:$AJ$54,2,FALSE)-EI8</f>
        <v>10366676.689999996</v>
      </c>
      <c r="FU8" s="37">
        <f>VLOOKUP($A8,[10]Calculations!$AF$3:$AJ$54,3,FALSE)-EM8</f>
        <v>10049432.719999991</v>
      </c>
      <c r="FV8" s="37">
        <f>VLOOKUP($A8,[10]Calculations!$AF$3:$AJ$54,4,FALSE)-EQ8</f>
        <v>11072701.390000008</v>
      </c>
      <c r="FW8" s="37">
        <f>VLOOKUP($A8,[10]Calculations!$AF$3:$AJ$54,5,FALSE)-EU8</f>
        <v>11895430.208902085</v>
      </c>
      <c r="FX8" s="52">
        <f t="shared" si="14"/>
        <v>29367.356062322935</v>
      </c>
      <c r="FY8" s="52">
        <f t="shared" si="15"/>
        <v>29909.025952380925</v>
      </c>
      <c r="FZ8" s="52">
        <f t="shared" si="16"/>
        <v>32856.680682492603</v>
      </c>
      <c r="GA8" s="52">
        <f t="shared" si="17"/>
        <v>33042.861691394683</v>
      </c>
    </row>
    <row r="9" spans="1:183" ht="15.75" x14ac:dyDescent="0.25">
      <c r="A9" s="66" t="s">
        <v>236</v>
      </c>
      <c r="B9" s="66" t="s">
        <v>237</v>
      </c>
      <c r="C9" s="67">
        <v>4</v>
      </c>
      <c r="D9" s="68" t="s">
        <v>221</v>
      </c>
      <c r="E9">
        <v>5</v>
      </c>
      <c r="F9" s="27">
        <v>2394</v>
      </c>
      <c r="G9" s="27">
        <v>2359</v>
      </c>
      <c r="H9" s="27">
        <v>2417</v>
      </c>
      <c r="I9" s="27">
        <v>2414</v>
      </c>
      <c r="J9" s="23">
        <v>254</v>
      </c>
      <c r="K9" s="23">
        <v>217</v>
      </c>
      <c r="L9" s="23">
        <v>239</v>
      </c>
      <c r="M9" s="23">
        <v>248</v>
      </c>
      <c r="N9" s="27">
        <v>2133</v>
      </c>
      <c r="O9" s="27">
        <v>2136</v>
      </c>
      <c r="P9" s="27">
        <v>2172</v>
      </c>
      <c r="Q9" s="27">
        <v>2161</v>
      </c>
      <c r="R9" s="25">
        <f>VLOOKUP($A9,'ADM, LTADM'!$B:$L,2,FALSE)</f>
        <v>2334.11</v>
      </c>
      <c r="S9" s="25">
        <f>VLOOKUP($A9,'ADM, LTADM'!$B:$L,3,FALSE)</f>
        <v>2334.19</v>
      </c>
      <c r="T9" s="25">
        <f>VLOOKUP($A9,'ADM, LTADM'!$B:$L,4,FALSE)</f>
        <v>2305.5599999999981</v>
      </c>
      <c r="U9" s="25">
        <f>VLOOKUP($A9,'ADM, LTADM'!$B:$L,5,FALSE)</f>
        <v>2318.4499999999994</v>
      </c>
      <c r="V9" s="29">
        <f>VLOOKUP($A9,'ADM, LTADM'!$B:$L,7,FALSE)</f>
        <v>2328.4499999999998</v>
      </c>
      <c r="W9" s="29">
        <f>VLOOKUP($A9,'ADM, LTADM'!$B:$L,8,FALSE)</f>
        <v>2339.2399999999998</v>
      </c>
      <c r="X9" s="29">
        <f>VLOOKUP($A9,'ADM, LTADM'!$B:$L,9,FALSE)</f>
        <v>2321.86</v>
      </c>
      <c r="Y9" s="29">
        <f>VLOOKUP($A9,'ADM, LTADM'!$B:$L,10,FALSE)</f>
        <v>2315.4299999999998</v>
      </c>
      <c r="Z9" s="10">
        <v>2277.42</v>
      </c>
      <c r="AA9" s="10">
        <v>2297.4299999999998</v>
      </c>
      <c r="AB9" s="10">
        <v>2297.2800000000002</v>
      </c>
      <c r="AC9" s="10">
        <v>2287.16</v>
      </c>
      <c r="AD9" s="2">
        <v>0.28775322283609578</v>
      </c>
      <c r="AE9" s="2">
        <v>0.24166666666666667</v>
      </c>
      <c r="AF9" s="2">
        <v>0.31755514705882354</v>
      </c>
      <c r="AG9" s="2">
        <v>0.25101763907734059</v>
      </c>
      <c r="AH9" s="2">
        <f t="shared" si="0"/>
        <v>0.28232501218719536</v>
      </c>
      <c r="AI9" s="46">
        <f>VLOOKUP(A9,'[1]SU_SD IDEA 3-21'!$A:$B,2,FALSE)</f>
        <v>348</v>
      </c>
      <c r="AJ9" s="46">
        <f>VLOOKUP(A9,'[2]SU_SD IDEA 3-21'!$A:$B,2,FALSE)</f>
        <v>348</v>
      </c>
      <c r="AK9" s="46">
        <f>VLOOKUP(A9,'[3]SU_SD IDEA 3-21'!$A:$B,2,FALSE)</f>
        <v>364</v>
      </c>
      <c r="AL9" s="46">
        <f>VLOOKUP($A9,'[4]SU_SD IDEA 3-21'!$A:$B,2,FALSE)</f>
        <v>380</v>
      </c>
      <c r="AM9" s="22">
        <f t="shared" si="18"/>
        <v>0.14909323039616812</v>
      </c>
      <c r="AN9" s="22">
        <f t="shared" si="19"/>
        <v>0.14908812050432912</v>
      </c>
      <c r="AO9" s="22">
        <f t="shared" si="20"/>
        <v>0.15787921372681704</v>
      </c>
      <c r="AP9" s="22">
        <f t="shared" si="21"/>
        <v>0.16390260734542478</v>
      </c>
      <c r="AQ9" s="26">
        <v>3.4530386740331494E-2</v>
      </c>
      <c r="AR9" s="26">
        <v>3.0555555555555555E-2</v>
      </c>
      <c r="AS9" s="26">
        <v>3.5845588235294115E-2</v>
      </c>
      <c r="AT9" s="26">
        <v>3.3016734509271825E-2</v>
      </c>
      <c r="AU9" s="2">
        <v>0.54564755838641188</v>
      </c>
      <c r="AV9" s="2">
        <v>0.60408163265306125</v>
      </c>
      <c r="AW9" s="2">
        <v>0.58974358974358976</v>
      </c>
      <c r="AX9" s="2">
        <v>0.57743957027752912</v>
      </c>
      <c r="AY9" s="2">
        <v>0.52330508474576276</v>
      </c>
      <c r="AZ9" s="2">
        <v>0.4585858585858586</v>
      </c>
      <c r="BA9" s="2">
        <v>0.43037974683544306</v>
      </c>
      <c r="BB9" s="2">
        <v>0.4817777777777778</v>
      </c>
      <c r="BC9" s="2">
        <v>0.6402439024390244</v>
      </c>
      <c r="BD9" s="2">
        <v>0.54437869822485208</v>
      </c>
      <c r="BE9" s="2" t="s">
        <v>222</v>
      </c>
      <c r="BF9" s="8">
        <v>0.59</v>
      </c>
      <c r="BG9" s="2">
        <v>0.6</v>
      </c>
      <c r="BH9" s="2">
        <v>0.36470588235294116</v>
      </c>
      <c r="BI9" s="2" t="s">
        <v>222</v>
      </c>
      <c r="BJ9" s="8">
        <v>0.48</v>
      </c>
      <c r="BK9" s="31">
        <f>VLOOKUP($A9,[5]FY20!$W:$AF,7,FALSE)</f>
        <v>8.1355140186915893</v>
      </c>
      <c r="BL9" s="31">
        <f>VLOOKUP($A9,[5]FY20!$W:$AF,8,FALSE)</f>
        <v>0.79439252336448596</v>
      </c>
      <c r="BM9" s="31">
        <f>VLOOKUP($A9,[5]FY20!$W:$AF,9,FALSE)</f>
        <v>1.8429906542056074</v>
      </c>
      <c r="BN9" s="31">
        <f>VLOOKUP($A9,[5]FY20!$W:$AF,10,FALSE)</f>
        <v>5.1738317757009344</v>
      </c>
      <c r="BO9" s="55">
        <f>VLOOKUP($A9,[5]FY21!$W:$AF,7,FALSE)</f>
        <v>8.3888888888888893</v>
      </c>
      <c r="BP9" s="55">
        <f>VLOOKUP($A9,[5]FY21!$W:$AF,8,FALSE)</f>
        <v>0.79365079365079361</v>
      </c>
      <c r="BQ9" s="55">
        <f>VLOOKUP($A9,[5]FY21!$W:$AF,9,FALSE)</f>
        <v>1.9374416433239963</v>
      </c>
      <c r="BR9" s="55">
        <f>VLOOKUP($A9,[5]FY21!$W:$AF,10,FALSE)</f>
        <v>5.1960784313725483</v>
      </c>
      <c r="BS9" s="31">
        <f>VLOOKUP($A9,[5]FY22!$W:$AF,7,FALSE)</f>
        <v>8.3200183654729134</v>
      </c>
      <c r="BT9" s="31">
        <f>VLOOKUP($A9,[5]FY22!$W:$AF,8,FALSE)</f>
        <v>0.78053259871441683</v>
      </c>
      <c r="BU9" s="31">
        <f>VLOOKUP($A9,[5]FY22!$W:$AF,9,FALSE)</f>
        <v>2.1322314049586777</v>
      </c>
      <c r="BV9" s="31">
        <f>VLOOKUP($A9,[5]FY22!$W:$AF,10,FALSE)</f>
        <v>5.7529843893480255</v>
      </c>
      <c r="BW9" s="55">
        <f>VLOOKUP($A9,[5]FY23!$W:$AF,7,FALSE)</f>
        <v>8.4256694367497698</v>
      </c>
      <c r="BX9" s="55">
        <f>VLOOKUP($A9,[5]FY23!$W:$AF,8,FALSE)</f>
        <v>0.8310249307479225</v>
      </c>
      <c r="BY9" s="55">
        <f>VLOOKUP($A9,[5]FY23!$W:$AF,9,FALSE)</f>
        <v>2.1698984302862421</v>
      </c>
      <c r="BZ9" s="55">
        <f>VLOOKUP($A9,[5]FY23!$W:$AF,10,FALSE)</f>
        <v>5.8984302862419211</v>
      </c>
      <c r="CA9" s="37">
        <f>VLOOKUP($A9,[5]FY20!$W:$AF,3,FALSE)</f>
        <v>75140.948190694995</v>
      </c>
      <c r="CB9" s="37">
        <f>VLOOKUP($A9,[5]FY20!$W:$AF,4,FALSE)</f>
        <v>106479.60411764706</v>
      </c>
      <c r="CC9" s="37">
        <f>VLOOKUP($A9,[5]FY20!$W:$AF,5,FALSE)</f>
        <v>65859.547920892481</v>
      </c>
      <c r="CD9" s="37">
        <f>VLOOKUP($A9,[5]FY20!$W:$AF,6,FALSE)</f>
        <v>38332.114974710988</v>
      </c>
      <c r="CE9" s="52">
        <f>VLOOKUP($A9,[5]FY21!$W:$AF,3,FALSE)</f>
        <v>75751.410651677885</v>
      </c>
      <c r="CF9" s="52">
        <f>VLOOKUP($A9,[5]FY21!$W:$AF,4,FALSE)</f>
        <v>109522.61176470589</v>
      </c>
      <c r="CG9" s="52">
        <f>VLOOKUP($A9,[5]FY21!$W:$AF,5,FALSE)</f>
        <v>64164.794457831333</v>
      </c>
      <c r="CH9" s="52">
        <f>VLOOKUP($A9,[5]FY21!$W:$AF,6,FALSE)</f>
        <v>36704.19820305481</v>
      </c>
      <c r="CI9" s="37">
        <f>VLOOKUP($A9,[5]FY22!$W:$AF,3,FALSE)</f>
        <v>77515.313227746781</v>
      </c>
      <c r="CJ9" s="37">
        <f>VLOOKUP($A9,[5]FY22!$W:$AF,4,FALSE)</f>
        <v>112187.99705882353</v>
      </c>
      <c r="CK9" s="37">
        <f>VLOOKUP($A9,[5]FY22!$W:$AF,5,FALSE)</f>
        <v>64627.74892334194</v>
      </c>
      <c r="CL9" s="37">
        <f>VLOOKUP($A9,[5]FY22!$W:$AF,6,FALSE)</f>
        <v>36165.475339185949</v>
      </c>
      <c r="CM9" s="52">
        <f>VLOOKUP($A9,[5]FY23!$W:$AF,3,FALSE)</f>
        <v>78395.109041095886</v>
      </c>
      <c r="CN9" s="52">
        <f>VLOOKUP($A9,[5]FY23!$W:$AF,4,FALSE)</f>
        <v>115339.00166666666</v>
      </c>
      <c r="CO9" s="52">
        <f>VLOOKUP($A9,[5]FY23!$W:$AF,5,FALSE)</f>
        <v>66682.399999999994</v>
      </c>
      <c r="CP9" s="52">
        <f>VLOOKUP($A9,[5]FY23!$W:$AF,6,FALSE)</f>
        <v>39932.436443331237</v>
      </c>
      <c r="CQ9" s="5">
        <v>0.88300000000000001</v>
      </c>
      <c r="CR9" s="4">
        <v>0.92600000000000005</v>
      </c>
      <c r="CS9" s="4">
        <v>0.872</v>
      </c>
      <c r="CT9" s="4">
        <v>0.88600000000000001</v>
      </c>
      <c r="CU9" s="4">
        <v>0.92600000000000005</v>
      </c>
      <c r="CV9" s="4">
        <v>0.88300000000000001</v>
      </c>
      <c r="CW9" s="4">
        <v>0.89500000000000002</v>
      </c>
      <c r="CX9" s="4">
        <v>0.89400000000000002</v>
      </c>
      <c r="CY9" t="s">
        <v>223</v>
      </c>
      <c r="CZ9" t="s">
        <v>228</v>
      </c>
      <c r="DA9" t="s">
        <v>223</v>
      </c>
      <c r="DB9">
        <v>0</v>
      </c>
      <c r="DC9">
        <v>1</v>
      </c>
      <c r="DD9">
        <v>2</v>
      </c>
      <c r="DE9">
        <v>0</v>
      </c>
      <c r="DF9">
        <v>0</v>
      </c>
      <c r="DG9">
        <v>0</v>
      </c>
      <c r="DH9">
        <v>1</v>
      </c>
      <c r="DI9">
        <v>2</v>
      </c>
      <c r="DJ9">
        <v>0</v>
      </c>
      <c r="DK9">
        <v>0</v>
      </c>
      <c r="DL9">
        <v>0</v>
      </c>
      <c r="DM9">
        <v>2</v>
      </c>
      <c r="DN9">
        <v>1</v>
      </c>
      <c r="DO9">
        <v>0</v>
      </c>
      <c r="DP9">
        <v>0</v>
      </c>
      <c r="DQ9" s="5">
        <v>0</v>
      </c>
      <c r="DR9" s="5">
        <v>0.33300000000000002</v>
      </c>
      <c r="DS9" s="5">
        <v>0.66700000000000004</v>
      </c>
      <c r="DT9" s="5">
        <v>0</v>
      </c>
      <c r="DU9" s="5">
        <v>0</v>
      </c>
      <c r="DV9" s="5">
        <v>0</v>
      </c>
      <c r="DW9" s="5">
        <v>0.33300000000000002</v>
      </c>
      <c r="DX9" s="5">
        <v>0.66700000000000004</v>
      </c>
      <c r="DY9" s="5">
        <v>0</v>
      </c>
      <c r="DZ9" s="5">
        <v>0</v>
      </c>
      <c r="EA9" s="5">
        <v>0</v>
      </c>
      <c r="EB9" s="5">
        <v>0.66700000000000004</v>
      </c>
      <c r="EC9" s="5">
        <v>0.33300000000000002</v>
      </c>
      <c r="ED9" s="5">
        <v>0</v>
      </c>
      <c r="EE9" s="5">
        <v>0</v>
      </c>
      <c r="EF9" s="36">
        <f>VLOOKUP($A9,'[6]Updated (2)'!$A$2:$Q$54,2,FALSE)</f>
        <v>0</v>
      </c>
      <c r="EG9" s="36">
        <f>VLOOKUP($A9,'[6]Updated (2)'!$A$2:$Q$54,3,FALSE)</f>
        <v>0</v>
      </c>
      <c r="EH9" s="36">
        <f>VLOOKUP($A9,'[6]Updated (2)'!$A$2:$Q$54,4,FALSE)</f>
        <v>0</v>
      </c>
      <c r="EI9" s="36">
        <f>VLOOKUP($A9,'[6]Updated (2)'!$A$2:$Q$54,5,FALSE)</f>
        <v>0</v>
      </c>
      <c r="EJ9" s="48">
        <f>VLOOKUP($A9,'[6]Updated (2)'!$A$2:$Q$54,6,FALSE)</f>
        <v>0</v>
      </c>
      <c r="EK9" s="48">
        <f>VLOOKUP($A9,'[6]Updated (2)'!$A$2:$Q$54,7,FALSE)</f>
        <v>0</v>
      </c>
      <c r="EL9" s="48">
        <f>VLOOKUP($A9,'[6]Updated (2)'!$A$2:$Q$54,8,FALSE)</f>
        <v>0</v>
      </c>
      <c r="EM9" s="48">
        <f>VLOOKUP($A9,'[6]Updated (2)'!$A$2:$Q$54,9,FALSE)</f>
        <v>0</v>
      </c>
      <c r="EN9" s="36">
        <f>VLOOKUP($A9,'[6]Updated (2)'!$A$2:$Q$54,10,FALSE)</f>
        <v>0</v>
      </c>
      <c r="EO9" s="36">
        <f>VLOOKUP($A9,'[6]Updated (2)'!$A$2:$Q$54,11,FALSE)</f>
        <v>0</v>
      </c>
      <c r="EP9" s="36">
        <f>VLOOKUP($A9,'[6]Updated (2)'!$A$2:$Q$54,12,FALSE)</f>
        <v>0</v>
      </c>
      <c r="EQ9" s="36">
        <f>VLOOKUP($A9,'[6]Updated (2)'!$A$2:$Q$54,13,FALSE)</f>
        <v>0</v>
      </c>
      <c r="ER9" s="48">
        <f>VLOOKUP($A9,'[6]Updated (2)'!$A$2:$Q$54,14,FALSE)</f>
        <v>0</v>
      </c>
      <c r="ES9" s="48">
        <f>VLOOKUP($A9,'[6]Updated (2)'!$A$2:$Q$54,15,FALSE)</f>
        <v>0</v>
      </c>
      <c r="ET9" s="48">
        <f>VLOOKUP($A9,'[6]Updated (2)'!$A$2:$Q$54,16,FALSE)</f>
        <v>0</v>
      </c>
      <c r="EU9" s="48">
        <f>VLOOKUP($A9,'[6]Updated (2)'!$A$2:$Q$54,17,FALSE)</f>
        <v>0</v>
      </c>
      <c r="EV9" s="37">
        <f>VLOOKUP($A9,[7]Totals!$A9:$F60,3,FALSE)-SUM(EF9:EI9)</f>
        <v>42559896.820000082</v>
      </c>
      <c r="EW9" s="37">
        <f>VLOOKUP($A9,[7]Totals!$A9:$F60,4,FALSE)-SUM(EJ9:EM9)</f>
        <v>45202217.620000042</v>
      </c>
      <c r="EX9" s="37">
        <f>VLOOKUP($A9,[7]Totals!$A9:$F60,5,FALSE)-SUM(EN9:EQ9)</f>
        <v>48761732.519999959</v>
      </c>
      <c r="EY9" s="37">
        <f>VLOOKUP($A9,[7]Totals!$A9:$F60,6,FALSE)-SUM(ER9:EU9)</f>
        <v>53620105.039999917</v>
      </c>
      <c r="EZ9" s="52">
        <f t="shared" si="2"/>
        <v>18278.20946122961</v>
      </c>
      <c r="FA9" s="52">
        <f t="shared" si="3"/>
        <v>19323.463013628378</v>
      </c>
      <c r="FB9" s="52">
        <f t="shared" si="4"/>
        <v>21001.151025470939</v>
      </c>
      <c r="FC9" s="52">
        <f t="shared" si="5"/>
        <v>23157.730978695068</v>
      </c>
      <c r="FD9" s="37">
        <f>VLOOKUP($A9,[8]Totals!$A$2:$F$54,3)-SUM(EF9:EI9)</f>
        <v>40910767.590000071</v>
      </c>
      <c r="FE9" s="37">
        <f>VLOOKUP($A9,[8]Totals!$A$2:$F$54,4)-SUM(EJ9:EM9)</f>
        <v>43816380.100000061</v>
      </c>
      <c r="FF9" s="37">
        <f>VLOOKUP($A9,[8]Totals!$A$2:$F$54,5)-SUM(EN9:EQ9)</f>
        <v>46956951.009999983</v>
      </c>
      <c r="FG9" s="37">
        <f>VLOOKUP($A9,[8]Totals!$A$2:$F$54,6)-SUM(ER9:EU9)</f>
        <v>50671944.939999945</v>
      </c>
      <c r="FH9" s="52">
        <f t="shared" si="6"/>
        <v>17569.957521097756</v>
      </c>
      <c r="FI9" s="52">
        <f t="shared" si="7"/>
        <v>18731.032343838197</v>
      </c>
      <c r="FJ9" s="52">
        <f t="shared" si="8"/>
        <v>20223.851140895651</v>
      </c>
      <c r="FK9" s="52">
        <f t="shared" si="9"/>
        <v>21884.464198874484</v>
      </c>
      <c r="FL9" s="37">
        <f>VLOOKUP($A9,[9]Totals!$A$3:$F$54,3)-SUM(EF9:EI9)</f>
        <v>38802931.050000057</v>
      </c>
      <c r="FM9" s="37">
        <f>VLOOKUP($A9,[9]Totals!$A$3:$F$54,4)-SUM(EJ9:EM9)</f>
        <v>40513426.57000003</v>
      </c>
      <c r="FN9" s="37">
        <f>VLOOKUP($A9,[9]Totals!$A$3:$F$54,5)-SUM(EN9:EQ9)</f>
        <v>43596716.119999975</v>
      </c>
      <c r="FO9" s="37">
        <f>VLOOKUP($A9,[9]Totals!$A$3:$F$54,6)-SUM(ER9:EU9)</f>
        <v>46640020.409999967</v>
      </c>
      <c r="FP9" s="52">
        <f t="shared" si="10"/>
        <v>16664.704438575045</v>
      </c>
      <c r="FQ9" s="52">
        <f t="shared" si="11"/>
        <v>17319.055150390741</v>
      </c>
      <c r="FR9" s="52">
        <f t="shared" si="12"/>
        <v>18776.634301809743</v>
      </c>
      <c r="FS9" s="52">
        <f t="shared" si="13"/>
        <v>20143.135577408935</v>
      </c>
      <c r="FT9" s="37">
        <f>VLOOKUP($A9,[10]Calculations!$AF$3:$AJ$54,2,FALSE)-EI9</f>
        <v>9761958.0799999945</v>
      </c>
      <c r="FU9" s="37">
        <f>VLOOKUP($A9,[10]Calculations!$AF$3:$AJ$54,3,FALSE)-EM9</f>
        <v>10011610.799999995</v>
      </c>
      <c r="FV9" s="37">
        <f>VLOOKUP($A9,[10]Calculations!$AF$3:$AJ$54,4,FALSE)-EQ9</f>
        <v>11519173.070000002</v>
      </c>
      <c r="FW9" s="37">
        <f>VLOOKUP($A9,[10]Calculations!$AF$3:$AJ$54,5,FALSE)-EU9</f>
        <v>12025510.347802199</v>
      </c>
      <c r="FX9" s="52">
        <f t="shared" si="14"/>
        <v>28051.603678160904</v>
      </c>
      <c r="FY9" s="52">
        <f t="shared" si="15"/>
        <v>28768.996551724125</v>
      </c>
      <c r="FZ9" s="52">
        <f t="shared" si="16"/>
        <v>31646.079862637369</v>
      </c>
      <c r="GA9" s="52">
        <f t="shared" si="17"/>
        <v>31646.079862637365</v>
      </c>
    </row>
    <row r="10" spans="1:183" ht="15.75" x14ac:dyDescent="0.25">
      <c r="A10" s="66" t="s">
        <v>238</v>
      </c>
      <c r="B10" s="66" t="s">
        <v>239</v>
      </c>
      <c r="C10" s="67">
        <v>2</v>
      </c>
      <c r="D10" s="68" t="s">
        <v>240</v>
      </c>
      <c r="E10">
        <v>7</v>
      </c>
      <c r="F10" s="27">
        <v>1380</v>
      </c>
      <c r="G10" s="27">
        <v>1289</v>
      </c>
      <c r="H10" s="27">
        <v>1313</v>
      </c>
      <c r="I10" s="27">
        <v>1265</v>
      </c>
      <c r="J10" s="23">
        <v>155</v>
      </c>
      <c r="K10" s="23">
        <v>110</v>
      </c>
      <c r="L10" s="23">
        <v>141</v>
      </c>
      <c r="M10" s="23">
        <v>119</v>
      </c>
      <c r="N10" s="27">
        <v>1225</v>
      </c>
      <c r="O10" s="27">
        <v>1179</v>
      </c>
      <c r="P10" s="27">
        <v>1172</v>
      </c>
      <c r="Q10" s="27">
        <v>1146</v>
      </c>
      <c r="R10" s="25">
        <f>VLOOKUP($A10,'ADM, LTADM'!$B:$L,2,FALSE)</f>
        <v>1495.08</v>
      </c>
      <c r="S10" s="25">
        <f>VLOOKUP($A10,'ADM, LTADM'!$B:$L,3,FALSE)</f>
        <v>1509.0099999999998</v>
      </c>
      <c r="T10" s="25">
        <f>VLOOKUP($A10,'ADM, LTADM'!$B:$L,4,FALSE)</f>
        <v>1481.69</v>
      </c>
      <c r="U10" s="25">
        <f>VLOOKUP($A10,'ADM, LTADM'!$B:$L,5,FALSE)</f>
        <v>1460.7399999999998</v>
      </c>
      <c r="V10" s="29">
        <f>VLOOKUP($A10,'ADM, LTADM'!$B:$L,7,FALSE)</f>
        <v>1539.29</v>
      </c>
      <c r="W10" s="29">
        <f>VLOOKUP($A10,'ADM, LTADM'!$B:$L,8,FALSE)</f>
        <v>1509.8200000000002</v>
      </c>
      <c r="X10" s="29">
        <f>VLOOKUP($A10,'ADM, LTADM'!$B:$L,9,FALSE)</f>
        <v>1500.39</v>
      </c>
      <c r="Y10" s="29">
        <f>VLOOKUP($A10,'ADM, LTADM'!$B:$L,10,FALSE)</f>
        <v>1474.48</v>
      </c>
      <c r="Z10" s="10">
        <v>1575.94</v>
      </c>
      <c r="AA10" s="10">
        <v>1542.09</v>
      </c>
      <c r="AB10" s="10">
        <v>1515.4099999999999</v>
      </c>
      <c r="AC10" s="10">
        <v>1508.3600000000001</v>
      </c>
      <c r="AD10" s="2">
        <v>0.42096642096642095</v>
      </c>
      <c r="AE10" s="2">
        <v>0.39932603201347938</v>
      </c>
      <c r="AF10" s="2">
        <v>0.26342281879194629</v>
      </c>
      <c r="AG10" s="2">
        <v>0.31861471861471863</v>
      </c>
      <c r="AH10" s="2">
        <f t="shared" si="0"/>
        <v>0.36123842392394884</v>
      </c>
      <c r="AI10" s="46">
        <f>VLOOKUP(A10,'[1]SU_SD IDEA 3-21'!$A:$B,2,FALSE)</f>
        <v>277</v>
      </c>
      <c r="AJ10" s="46">
        <f>VLOOKUP(A10,'[2]SU_SD IDEA 3-21'!$A:$B,2,FALSE)</f>
        <v>262</v>
      </c>
      <c r="AK10" s="46">
        <f>VLOOKUP(A10,'[3]SU_SD IDEA 3-21'!$A:$B,2,FALSE)</f>
        <v>288</v>
      </c>
      <c r="AL10" s="46">
        <f>VLOOKUP($A10,'[4]SU_SD IDEA 3-21'!$A:$B,2,FALSE)</f>
        <v>294</v>
      </c>
      <c r="AM10" s="22">
        <f t="shared" si="18"/>
        <v>0.18527436658907886</v>
      </c>
      <c r="AN10" s="22">
        <f t="shared" si="19"/>
        <v>0.17362376657543691</v>
      </c>
      <c r="AO10" s="22">
        <f t="shared" si="20"/>
        <v>0.19437264205063137</v>
      </c>
      <c r="AP10" s="22">
        <f t="shared" si="21"/>
        <v>0.20126785054150639</v>
      </c>
      <c r="AQ10" s="26" t="s">
        <v>222</v>
      </c>
      <c r="AR10" s="26" t="s">
        <v>222</v>
      </c>
      <c r="AS10" s="26" t="s">
        <v>222</v>
      </c>
      <c r="AT10" s="26" t="s">
        <v>222</v>
      </c>
      <c r="AU10" s="2">
        <v>0.64383561643835618</v>
      </c>
      <c r="AV10" s="2">
        <v>0.5113122171945701</v>
      </c>
      <c r="AW10" s="2">
        <v>0.532258064516129</v>
      </c>
      <c r="AX10" s="2">
        <v>0.57171314741035861</v>
      </c>
      <c r="AY10" s="2">
        <v>0.50228310502283102</v>
      </c>
      <c r="AZ10" s="2">
        <v>0.3755656108597285</v>
      </c>
      <c r="BA10" s="2">
        <v>0.33870967741935482</v>
      </c>
      <c r="BB10" s="2">
        <v>0.42629482071713148</v>
      </c>
      <c r="BC10" s="2">
        <v>0.53921568627450978</v>
      </c>
      <c r="BD10" s="2">
        <v>0.58260869565217388</v>
      </c>
      <c r="BE10" s="2" t="s">
        <v>222</v>
      </c>
      <c r="BF10" s="8">
        <v>0.56000000000000005</v>
      </c>
      <c r="BG10" s="2">
        <v>0.26470588235294118</v>
      </c>
      <c r="BH10" s="2">
        <v>0.35087719298245612</v>
      </c>
      <c r="BI10" s="2" t="s">
        <v>222</v>
      </c>
      <c r="BJ10" s="8">
        <v>0.31</v>
      </c>
      <c r="BK10" s="31">
        <f>VLOOKUP($A10,[5]FY20!$W:$AF,7,FALSE)</f>
        <v>13.262040816326529</v>
      </c>
      <c r="BL10" s="31">
        <f>VLOOKUP($A10,[5]FY20!$W:$AF,8,FALSE)</f>
        <v>1.1820408163265306</v>
      </c>
      <c r="BM10" s="31">
        <f>VLOOKUP($A10,[5]FY20!$W:$AF,9,FALSE)</f>
        <v>3.0824489795918364</v>
      </c>
      <c r="BN10" s="31">
        <f>VLOOKUP($A10,[5]FY20!$W:$AF,10,FALSE)</f>
        <v>4.8881632653061224</v>
      </c>
      <c r="BO10" s="55">
        <f>VLOOKUP($A10,[5]FY21!$W:$AF,7,FALSE)</f>
        <v>11.703986429177267</v>
      </c>
      <c r="BP10" s="55">
        <f>VLOOKUP($A10,[5]FY21!$W:$AF,8,FALSE)</f>
        <v>1.2213740458015268</v>
      </c>
      <c r="BQ10" s="55">
        <f>VLOOKUP($A10,[5]FY21!$W:$AF,9,FALSE)</f>
        <v>3.1261662425784564</v>
      </c>
      <c r="BR10" s="55">
        <f>VLOOKUP($A10,[5]FY21!$W:$AF,10,FALSE)</f>
        <v>6.4529262086513981</v>
      </c>
      <c r="BS10" s="31">
        <f>VLOOKUP($A10,[5]FY22!$W:$AF,7,FALSE)</f>
        <v>11.848976109215014</v>
      </c>
      <c r="BT10" s="31">
        <f>VLOOKUP($A10,[5]FY22!$W:$AF,8,FALSE)</f>
        <v>1.3651877133105803</v>
      </c>
      <c r="BU10" s="31">
        <f>VLOOKUP($A10,[5]FY22!$W:$AF,9,FALSE)</f>
        <v>3.204778156996587</v>
      </c>
      <c r="BV10" s="31">
        <f>VLOOKUP($A10,[5]FY22!$W:$AF,10,FALSE)</f>
        <v>6.3532423208191107</v>
      </c>
      <c r="BW10" s="55">
        <f>VLOOKUP($A10,[5]FY23!$W:$AF,7,FALSE)</f>
        <v>12.54537521815009</v>
      </c>
      <c r="BX10" s="55">
        <f>VLOOKUP($A10,[5]FY23!$W:$AF,8,FALSE)</f>
        <v>2.2862129144851657</v>
      </c>
      <c r="BY10" s="55">
        <f>VLOOKUP($A10,[5]FY23!$W:$AF,9,FALSE)</f>
        <v>3.6335078534031418</v>
      </c>
      <c r="BZ10" s="55">
        <f>VLOOKUP($A10,[5]FY23!$W:$AF,10,FALSE)</f>
        <v>7.115183246073296</v>
      </c>
      <c r="CA10" s="37">
        <f>VLOOKUP($A10,[5]FY20!$W:$AF,3,FALSE)</f>
        <v>57365.47457835776</v>
      </c>
      <c r="CB10" s="37">
        <f>VLOOKUP($A10,[5]FY20!$W:$AF,4,FALSE)</f>
        <v>83809.599447513814</v>
      </c>
      <c r="CC10" s="37">
        <f>VLOOKUP($A10,[5]FY20!$W:$AF,5,FALSE)</f>
        <v>51684.454449152545</v>
      </c>
      <c r="CD10" s="37">
        <f>VLOOKUP($A10,[5]FY20!$W:$AF,6,FALSE)</f>
        <v>36326.135604542418</v>
      </c>
      <c r="CE10" s="52">
        <f>VLOOKUP($A10,[5]FY21!$W:$AF,3,FALSE)</f>
        <v>57298.210015218501</v>
      </c>
      <c r="CF10" s="52">
        <f>VLOOKUP($A10,[5]FY21!$W:$AF,4,FALSE)</f>
        <v>86214.722222222219</v>
      </c>
      <c r="CG10" s="52">
        <f>VLOOKUP($A10,[5]FY21!$W:$AF,5,FALSE)</f>
        <v>54740.446313504712</v>
      </c>
      <c r="CH10" s="52">
        <f>VLOOKUP($A10,[5]FY21!$W:$AF,6,FALSE)</f>
        <v>43147.673501577294</v>
      </c>
      <c r="CI10" s="37">
        <f>VLOOKUP($A10,[5]FY22!$W:$AF,3,FALSE)</f>
        <v>60336.184921149288</v>
      </c>
      <c r="CJ10" s="37">
        <f>VLOOKUP($A10,[5]FY22!$W:$AF,4,FALSE)</f>
        <v>86969.625</v>
      </c>
      <c r="CK10" s="37">
        <f>VLOOKUP($A10,[5]FY22!$W:$AF,5,FALSE)</f>
        <v>55052.396166134182</v>
      </c>
      <c r="CL10" s="37">
        <f>VLOOKUP($A10,[5]FY22!$W:$AF,6,FALSE)</f>
        <v>45154.928820843415</v>
      </c>
      <c r="CM10" s="52">
        <f>VLOOKUP($A10,[5]FY23!$W:$AF,3,FALSE)</f>
        <v>58385.407247687261</v>
      </c>
      <c r="CN10" s="52">
        <f>VLOOKUP($A10,[5]FY23!$W:$AF,4,FALSE)</f>
        <v>76742.328244274817</v>
      </c>
      <c r="CO10" s="52">
        <f>VLOOKUP($A10,[5]FY23!$W:$AF,5,FALSE)</f>
        <v>55883.381364073008</v>
      </c>
      <c r="CP10" s="52">
        <f>VLOOKUP($A10,[5]FY23!$W:$AF,6,FALSE)</f>
        <v>46982.192788815315</v>
      </c>
      <c r="CQ10" s="5">
        <v>0.89700000000000002</v>
      </c>
      <c r="CR10" s="4">
        <v>0.91600000000000004</v>
      </c>
      <c r="CS10" s="4">
        <v>0.89600000000000002</v>
      </c>
      <c r="CT10" s="4">
        <v>0.90100000000000002</v>
      </c>
      <c r="CU10" s="4">
        <v>0.91400000000000003</v>
      </c>
      <c r="CV10" s="4">
        <v>0.88200000000000001</v>
      </c>
      <c r="CW10" s="4">
        <v>0.90200000000000002</v>
      </c>
      <c r="CX10" s="4">
        <v>0.93300000000000005</v>
      </c>
      <c r="CY10" t="s">
        <v>223</v>
      </c>
      <c r="CZ10" t="s">
        <v>223</v>
      </c>
      <c r="DA10" t="s">
        <v>223</v>
      </c>
      <c r="DB10">
        <v>0</v>
      </c>
      <c r="DC10">
        <v>1</v>
      </c>
      <c r="DD10">
        <v>4</v>
      </c>
      <c r="DE10">
        <v>0</v>
      </c>
      <c r="DF10">
        <v>2</v>
      </c>
      <c r="DG10">
        <v>0</v>
      </c>
      <c r="DH10">
        <v>0</v>
      </c>
      <c r="DI10">
        <v>5</v>
      </c>
      <c r="DJ10">
        <v>0</v>
      </c>
      <c r="DK10">
        <v>2</v>
      </c>
      <c r="DL10">
        <v>0</v>
      </c>
      <c r="DM10">
        <v>0</v>
      </c>
      <c r="DN10">
        <v>4</v>
      </c>
      <c r="DO10">
        <v>1</v>
      </c>
      <c r="DP10">
        <v>0</v>
      </c>
      <c r="DQ10" s="5">
        <v>0</v>
      </c>
      <c r="DR10" s="5">
        <v>0.14299999999999999</v>
      </c>
      <c r="DS10" s="5">
        <v>0.57099999999999995</v>
      </c>
      <c r="DT10" s="5">
        <v>0</v>
      </c>
      <c r="DU10" s="5">
        <v>0.28599999999999998</v>
      </c>
      <c r="DV10" s="5">
        <v>0</v>
      </c>
      <c r="DW10" s="5">
        <v>0</v>
      </c>
      <c r="DX10" s="5">
        <v>0.71399999999999997</v>
      </c>
      <c r="DY10" s="5">
        <v>0</v>
      </c>
      <c r="DZ10" s="5">
        <v>0.28599999999999998</v>
      </c>
      <c r="EA10" s="5">
        <v>0</v>
      </c>
      <c r="EB10" s="5">
        <v>0</v>
      </c>
      <c r="EC10" s="5">
        <v>0.57099999999999995</v>
      </c>
      <c r="ED10" s="5">
        <v>0.14299999999999999</v>
      </c>
      <c r="EE10" s="5">
        <v>0</v>
      </c>
      <c r="EF10" s="36">
        <f>VLOOKUP($A10,'[6]Updated (2)'!$A$2:$Q$54,2,FALSE)</f>
        <v>0</v>
      </c>
      <c r="EG10" s="36">
        <f>VLOOKUP($A10,'[6]Updated (2)'!$A$2:$Q$54,3,FALSE)</f>
        <v>0</v>
      </c>
      <c r="EH10" s="36">
        <f>VLOOKUP($A10,'[6]Updated (2)'!$A$2:$Q$54,4,FALSE)</f>
        <v>0</v>
      </c>
      <c r="EI10" s="36">
        <f>VLOOKUP($A10,'[6]Updated (2)'!$A$2:$Q$54,5,FALSE)</f>
        <v>0</v>
      </c>
      <c r="EJ10" s="48">
        <f>VLOOKUP($A10,'[6]Updated (2)'!$A$2:$Q$54,6,FALSE)</f>
        <v>0</v>
      </c>
      <c r="EK10" s="48">
        <f>VLOOKUP($A10,'[6]Updated (2)'!$A$2:$Q$54,7,FALSE)</f>
        <v>0</v>
      </c>
      <c r="EL10" s="48">
        <f>VLOOKUP($A10,'[6]Updated (2)'!$A$2:$Q$54,8,FALSE)</f>
        <v>0</v>
      </c>
      <c r="EM10" s="48">
        <f>VLOOKUP($A10,'[6]Updated (2)'!$A$2:$Q$54,9,FALSE)</f>
        <v>0</v>
      </c>
      <c r="EN10" s="36">
        <f>VLOOKUP($A10,'[6]Updated (2)'!$A$2:$Q$54,10,FALSE)</f>
        <v>0</v>
      </c>
      <c r="EO10" s="36">
        <f>VLOOKUP($A10,'[6]Updated (2)'!$A$2:$Q$54,11,FALSE)</f>
        <v>0</v>
      </c>
      <c r="EP10" s="36">
        <f>VLOOKUP($A10,'[6]Updated (2)'!$A$2:$Q$54,12,FALSE)</f>
        <v>0</v>
      </c>
      <c r="EQ10" s="36">
        <f>VLOOKUP($A10,'[6]Updated (2)'!$A$2:$Q$54,13,FALSE)</f>
        <v>0</v>
      </c>
      <c r="ER10" s="48">
        <f>VLOOKUP($A10,'[6]Updated (2)'!$A$2:$Q$54,14,FALSE)</f>
        <v>0</v>
      </c>
      <c r="ES10" s="48">
        <f>VLOOKUP($A10,'[6]Updated (2)'!$A$2:$Q$54,15,FALSE)</f>
        <v>0</v>
      </c>
      <c r="ET10" s="48">
        <f>VLOOKUP($A10,'[6]Updated (2)'!$A$2:$Q$54,16,FALSE)</f>
        <v>0</v>
      </c>
      <c r="EU10" s="48">
        <f>VLOOKUP($A10,'[6]Updated (2)'!$A$2:$Q$54,17,FALSE)</f>
        <v>0</v>
      </c>
      <c r="EV10" s="37">
        <f>VLOOKUP($A10,[7]Totals!$A10:$F61,3,FALSE)-SUM(EF10:EI10)</f>
        <v>37451268</v>
      </c>
      <c r="EW10" s="37">
        <f>VLOOKUP($A10,[7]Totals!$A10:$F61,4,FALSE)-SUM(EJ10:EM10)</f>
        <v>40432311</v>
      </c>
      <c r="EX10" s="37">
        <f>VLOOKUP($A10,[7]Totals!$A10:$F61,5,FALSE)-SUM(EN10:EQ10)</f>
        <v>40817800</v>
      </c>
      <c r="EY10" s="37">
        <f>VLOOKUP($A10,[7]Totals!$A10:$F61,6,FALSE)-SUM(ER10:EU10)</f>
        <v>42837802</v>
      </c>
      <c r="EZ10" s="52">
        <f t="shared" si="2"/>
        <v>24330.222375250927</v>
      </c>
      <c r="FA10" s="52">
        <f t="shared" si="3"/>
        <v>26779.557165754853</v>
      </c>
      <c r="FB10" s="52">
        <f t="shared" si="4"/>
        <v>27204.793420377366</v>
      </c>
      <c r="FC10" s="52">
        <f t="shared" si="5"/>
        <v>29052.819977212304</v>
      </c>
      <c r="FD10" s="37">
        <f>VLOOKUP($A10,[8]Totals!$A$2:$F$54,3)-SUM(EF10:EI10)</f>
        <v>36409938</v>
      </c>
      <c r="FE10" s="37">
        <f>VLOOKUP($A10,[8]Totals!$A$2:$F$54,4)-SUM(EJ10:EM10)</f>
        <v>38979526</v>
      </c>
      <c r="FF10" s="37">
        <f>VLOOKUP($A10,[8]Totals!$A$2:$F$54,5)-SUM(EN10:EQ10)</f>
        <v>38904004</v>
      </c>
      <c r="FG10" s="37">
        <f>VLOOKUP($A10,[8]Totals!$A$2:$F$54,6)-SUM(ER10:EU10)</f>
        <v>41407946</v>
      </c>
      <c r="FH10" s="52">
        <f t="shared" si="6"/>
        <v>23653.722170611127</v>
      </c>
      <c r="FI10" s="52">
        <f t="shared" si="7"/>
        <v>25817.333192036134</v>
      </c>
      <c r="FJ10" s="52">
        <f t="shared" si="8"/>
        <v>25929.26105879138</v>
      </c>
      <c r="FK10" s="52">
        <f t="shared" si="9"/>
        <v>28083.084205957355</v>
      </c>
      <c r="FL10" s="37">
        <f>VLOOKUP($A10,[9]Totals!$A$3:$F$54,3)-SUM(EF10:EI10)</f>
        <v>34523215</v>
      </c>
      <c r="FM10" s="37">
        <f>VLOOKUP($A10,[9]Totals!$A$3:$F$54,4)-SUM(EJ10:EM10)</f>
        <v>36483196</v>
      </c>
      <c r="FN10" s="37">
        <f>VLOOKUP($A10,[9]Totals!$A$3:$F$54,5)-SUM(EN10:EQ10)</f>
        <v>34905341</v>
      </c>
      <c r="FO10" s="37">
        <f>VLOOKUP($A10,[9]Totals!$A$3:$F$54,6)-SUM(ER10:EU10)</f>
        <v>35961641</v>
      </c>
      <c r="FP10" s="52">
        <f t="shared" si="10"/>
        <v>22428.012265395086</v>
      </c>
      <c r="FQ10" s="52">
        <f t="shared" si="11"/>
        <v>24163.937423004063</v>
      </c>
      <c r="FR10" s="52">
        <f t="shared" si="12"/>
        <v>23264.178646885142</v>
      </c>
      <c r="FS10" s="52">
        <f t="shared" si="13"/>
        <v>24389.371846345832</v>
      </c>
      <c r="FT10" s="37">
        <f>VLOOKUP($A10,[10]Calculations!$AF$3:$AJ$54,2,FALSE)-EI10</f>
        <v>8748598</v>
      </c>
      <c r="FU10" s="37">
        <f>VLOOKUP($A10,[10]Calculations!$AF$3:$AJ$54,3,FALSE)-EM10</f>
        <v>11334539</v>
      </c>
      <c r="FV10" s="37">
        <f>VLOOKUP($A10,[10]Calculations!$AF$3:$AJ$54,4,FALSE)-EQ10</f>
        <v>10513195</v>
      </c>
      <c r="FW10" s="37">
        <f>VLOOKUP($A10,[10]Calculations!$AF$3:$AJ$54,5,FALSE)-EU10</f>
        <v>10732219.895833334</v>
      </c>
      <c r="FX10" s="52">
        <f t="shared" si="14"/>
        <v>31583.386281588446</v>
      </c>
      <c r="FY10" s="52">
        <f t="shared" si="15"/>
        <v>43261.599236641225</v>
      </c>
      <c r="FZ10" s="52">
        <f t="shared" si="16"/>
        <v>36504.149305555555</v>
      </c>
      <c r="GA10" s="52">
        <f t="shared" si="17"/>
        <v>36504.149305555555</v>
      </c>
    </row>
    <row r="11" spans="1:183" ht="15.75" x14ac:dyDescent="0.25">
      <c r="A11" s="66" t="s">
        <v>241</v>
      </c>
      <c r="B11" s="66" t="s">
        <v>242</v>
      </c>
      <c r="C11" s="67">
        <v>3</v>
      </c>
      <c r="D11" s="68" t="s">
        <v>221</v>
      </c>
      <c r="E11">
        <v>3</v>
      </c>
      <c r="F11" s="27">
        <v>1578</v>
      </c>
      <c r="G11" s="27">
        <v>1531</v>
      </c>
      <c r="H11" s="27">
        <v>1532</v>
      </c>
      <c r="I11" s="27">
        <v>1459</v>
      </c>
      <c r="J11" s="23">
        <v>171</v>
      </c>
      <c r="K11" s="23">
        <v>134</v>
      </c>
      <c r="L11" s="23">
        <v>151</v>
      </c>
      <c r="M11" s="23">
        <v>139</v>
      </c>
      <c r="N11" s="27">
        <v>1407</v>
      </c>
      <c r="O11" s="27">
        <v>1397</v>
      </c>
      <c r="P11" s="27">
        <v>1381</v>
      </c>
      <c r="Q11" s="27">
        <v>1320</v>
      </c>
      <c r="R11" s="25">
        <f>VLOOKUP($A11,'ADM, LTADM'!$B:$L,2,FALSE)</f>
        <v>1582.63</v>
      </c>
      <c r="S11" s="25">
        <f>VLOOKUP($A11,'ADM, LTADM'!$B:$L,3,FALSE)</f>
        <v>1582.2</v>
      </c>
      <c r="T11" s="25">
        <f>VLOOKUP($A11,'ADM, LTADM'!$B:$L,4,FALSE)</f>
        <v>1529.2899999999991</v>
      </c>
      <c r="U11" s="25">
        <f>VLOOKUP($A11,'ADM, LTADM'!$B:$L,5,FALSE)</f>
        <v>1461.4699999999998</v>
      </c>
      <c r="V11" s="29">
        <f>VLOOKUP($A11,'ADM, LTADM'!$B:$L,7,FALSE)</f>
        <v>1618.18</v>
      </c>
      <c r="W11" s="29">
        <f>VLOOKUP($A11,'ADM, LTADM'!$B:$L,8,FALSE)</f>
        <v>1590.85</v>
      </c>
      <c r="X11" s="29">
        <f>VLOOKUP($A11,'ADM, LTADM'!$B:$L,9,FALSE)</f>
        <v>1565.02</v>
      </c>
      <c r="Y11" s="29">
        <f>VLOOKUP($A11,'ADM, LTADM'!$B:$L,10,FALSE)</f>
        <v>1498.13</v>
      </c>
      <c r="Z11" s="10">
        <v>1634.77</v>
      </c>
      <c r="AA11" s="10">
        <v>1597.07</v>
      </c>
      <c r="AB11" s="10">
        <v>1577.34</v>
      </c>
      <c r="AC11" s="10">
        <v>1552.8</v>
      </c>
      <c r="AD11" s="2">
        <v>0.38482758620689655</v>
      </c>
      <c r="AE11" s="2">
        <v>0.3150208623087622</v>
      </c>
      <c r="AF11" s="2">
        <v>0.36924167257264351</v>
      </c>
      <c r="AG11" s="2">
        <v>0.26451138868479057</v>
      </c>
      <c r="AH11" s="2">
        <f t="shared" si="0"/>
        <v>0.35636337369610072</v>
      </c>
      <c r="AI11" s="46">
        <f>VLOOKUP(A11,'[1]SU_SD IDEA 3-21'!$A:$B,2,FALSE)</f>
        <v>334</v>
      </c>
      <c r="AJ11" s="46">
        <f>VLOOKUP(A11,'[2]SU_SD IDEA 3-21'!$A:$B,2,FALSE)</f>
        <v>340</v>
      </c>
      <c r="AK11" s="46">
        <f>VLOOKUP(A11,'[3]SU_SD IDEA 3-21'!$A:$B,2,FALSE)</f>
        <v>338</v>
      </c>
      <c r="AL11" s="46">
        <f>VLOOKUP($A11,'[4]SU_SD IDEA 3-21'!$A:$B,2,FALSE)</f>
        <v>331</v>
      </c>
      <c r="AM11" s="22">
        <f t="shared" si="18"/>
        <v>0.21104111510586807</v>
      </c>
      <c r="AN11" s="22">
        <f t="shared" si="19"/>
        <v>0.21489065857666539</v>
      </c>
      <c r="AO11" s="22">
        <f t="shared" si="20"/>
        <v>0.22101759640094437</v>
      </c>
      <c r="AP11" s="22">
        <f t="shared" si="21"/>
        <v>0.22648429321162941</v>
      </c>
      <c r="AQ11" s="26">
        <v>1.8620689655172412E-2</v>
      </c>
      <c r="AR11" s="26">
        <v>2.2253129346314324E-2</v>
      </c>
      <c r="AS11" s="26">
        <v>2.3387668320340185E-2</v>
      </c>
      <c r="AT11" s="26">
        <v>2.6451138868479059E-2</v>
      </c>
      <c r="AU11" s="2">
        <v>0.54258675078864349</v>
      </c>
      <c r="AV11" s="2">
        <v>0.43465045592705165</v>
      </c>
      <c r="AW11" s="2">
        <v>0.7155963302752294</v>
      </c>
      <c r="AX11" s="2">
        <v>0.52052980132450333</v>
      </c>
      <c r="AY11" s="2">
        <v>0.44339622641509435</v>
      </c>
      <c r="AZ11" s="2">
        <v>0.28353658536585363</v>
      </c>
      <c r="BA11" s="2">
        <v>0.39814814814814814</v>
      </c>
      <c r="BB11" s="2">
        <v>0.36737400530503977</v>
      </c>
      <c r="BC11" s="2" t="s">
        <v>222</v>
      </c>
      <c r="BD11" s="2">
        <v>0.47</v>
      </c>
      <c r="BE11" s="2">
        <v>0.52475247524752477</v>
      </c>
      <c r="BF11" s="8">
        <v>0.49</v>
      </c>
      <c r="BG11" s="2">
        <v>0.2185430463576159</v>
      </c>
      <c r="BH11" s="2">
        <v>0.34797297297297297</v>
      </c>
      <c r="BI11" s="2">
        <v>0.38613861386138615</v>
      </c>
      <c r="BJ11" s="8">
        <v>0.3</v>
      </c>
      <c r="BK11" s="31">
        <f>VLOOKUP($A11,[5]FY20!$W:$AF,7,FALSE)</f>
        <v>9.5238095238095237</v>
      </c>
      <c r="BL11" s="31">
        <f>VLOOKUP($A11,[5]FY20!$W:$AF,8,FALSE)</f>
        <v>1.1016346837242361</v>
      </c>
      <c r="BM11" s="31">
        <f>VLOOKUP($A11,[5]FY20!$W:$AF,9,FALSE)</f>
        <v>2.1321961620469083</v>
      </c>
      <c r="BN11" s="31">
        <f>VLOOKUP($A11,[5]FY20!$W:$AF,10,FALSE)</f>
        <v>4.982231698649608</v>
      </c>
      <c r="BO11" s="55">
        <f>VLOOKUP($A11,[5]FY21!$W:$AF,7,FALSE)</f>
        <v>9.3987115246957771</v>
      </c>
      <c r="BP11" s="55">
        <f>VLOOKUP($A11,[5]FY21!$W:$AF,8,FALSE)</f>
        <v>0.78740157480314954</v>
      </c>
      <c r="BQ11" s="55">
        <f>VLOOKUP($A11,[5]FY21!$W:$AF,9,FALSE)</f>
        <v>2.0042949176807445</v>
      </c>
      <c r="BR11" s="55">
        <f>VLOOKUP($A11,[5]FY21!$W:$AF,10,FALSE)</f>
        <v>5.4974946313528994</v>
      </c>
      <c r="BS11" s="31">
        <f>VLOOKUP($A11,[5]FY22!$W:$AF,7,FALSE)</f>
        <v>9.4619840695148447</v>
      </c>
      <c r="BT11" s="31">
        <f>VLOOKUP($A11,[5]FY22!$W:$AF,8,FALSE)</f>
        <v>1.3034033309196236</v>
      </c>
      <c r="BU11" s="31">
        <f>VLOOKUP($A11,[5]FY22!$W:$AF,9,FALSE)</f>
        <v>2.4619840695148443</v>
      </c>
      <c r="BV11" s="31">
        <f>VLOOKUP($A11,[5]FY22!$W:$AF,10,FALSE)</f>
        <v>5.6191165821868205</v>
      </c>
      <c r="BW11" s="55">
        <f>VLOOKUP($A11,[5]FY23!$W:$AF,7,FALSE)</f>
        <v>10.410606060606062</v>
      </c>
      <c r="BX11" s="55">
        <f>VLOOKUP($A11,[5]FY23!$W:$AF,8,FALSE)</f>
        <v>1.25</v>
      </c>
      <c r="BY11" s="55">
        <f>VLOOKUP($A11,[5]FY23!$W:$AF,9,FALSE)</f>
        <v>2.6734848484848484</v>
      </c>
      <c r="BZ11" s="55">
        <f>VLOOKUP($A11,[5]FY23!$W:$AF,10,FALSE)</f>
        <v>5.7121212121212128</v>
      </c>
      <c r="CA11" s="37">
        <f>VLOOKUP($A11,[5]FY20!$W:$AF,3,FALSE)</f>
        <v>63220.350746268654</v>
      </c>
      <c r="CB11" s="37">
        <f>VLOOKUP($A11,[5]FY20!$W:$AF,4,FALSE)</f>
        <v>93944.451612903227</v>
      </c>
      <c r="CC11" s="37">
        <f>VLOOKUP($A11,[5]FY20!$W:$AF,5,FALSE)</f>
        <v>58263.533333333333</v>
      </c>
      <c r="CD11" s="37">
        <f>VLOOKUP($A11,[5]FY20!$W:$AF,6,FALSE)</f>
        <v>39350.128388017125</v>
      </c>
      <c r="CE11" s="52">
        <f>VLOOKUP($A11,[5]FY21!$W:$AF,3,FALSE)</f>
        <v>64261.774562071587</v>
      </c>
      <c r="CF11" s="52">
        <f>VLOOKUP($A11,[5]FY21!$W:$AF,4,FALSE)</f>
        <v>103098.81818181818</v>
      </c>
      <c r="CG11" s="52">
        <f>VLOOKUP($A11,[5]FY21!$W:$AF,5,FALSE)</f>
        <v>63082</v>
      </c>
      <c r="CH11" s="52">
        <f>VLOOKUP($A11,[5]FY21!$W:$AF,6,FALSE)</f>
        <v>41164.1015625</v>
      </c>
      <c r="CI11" s="37">
        <f>VLOOKUP($A11,[5]FY22!$W:$AF,3,FALSE)</f>
        <v>62723.624397336796</v>
      </c>
      <c r="CJ11" s="37">
        <f>VLOOKUP($A11,[5]FY22!$W:$AF,4,FALSE)</f>
        <v>96614.777777777781</v>
      </c>
      <c r="CK11" s="37">
        <f>VLOOKUP($A11,[5]FY22!$W:$AF,5,FALSE)</f>
        <v>64485.382352941175</v>
      </c>
      <c r="CL11" s="37">
        <f>VLOOKUP($A11,[5]FY22!$W:$AF,6,FALSE)</f>
        <v>37992.80927835052</v>
      </c>
      <c r="CM11" s="52">
        <f>VLOOKUP($A11,[5]FY23!$W:$AF,3,FALSE)</f>
        <v>66243.654489885012</v>
      </c>
      <c r="CN11" s="52">
        <f>VLOOKUP($A11,[5]FY23!$W:$AF,4,FALSE)</f>
        <v>101645.0303030303</v>
      </c>
      <c r="CO11" s="52">
        <f>VLOOKUP($A11,[5]FY23!$W:$AF,5,FALSE)</f>
        <v>69344.913573250218</v>
      </c>
      <c r="CP11" s="52">
        <f>VLOOKUP($A11,[5]FY23!$W:$AF,6,FALSE)</f>
        <v>42667.50663129973</v>
      </c>
      <c r="CQ11" s="5">
        <v>0.85299999999999998</v>
      </c>
      <c r="CR11" s="4">
        <v>0.92900000000000005</v>
      </c>
      <c r="CS11" s="4">
        <v>0.88800000000000001</v>
      </c>
      <c r="CT11" s="4">
        <v>0.92</v>
      </c>
      <c r="CU11" s="4">
        <v>0.89300000000000002</v>
      </c>
      <c r="CV11" s="4">
        <v>0.89200000000000002</v>
      </c>
      <c r="CW11" s="4">
        <v>0.91400000000000003</v>
      </c>
      <c r="CX11" s="4">
        <v>0.89400000000000002</v>
      </c>
      <c r="CY11" t="s">
        <v>243</v>
      </c>
      <c r="CZ11" t="s">
        <v>223</v>
      </c>
      <c r="DA11" t="s">
        <v>223</v>
      </c>
      <c r="DB11">
        <v>0</v>
      </c>
      <c r="DC11">
        <v>0</v>
      </c>
      <c r="DD11">
        <v>1</v>
      </c>
      <c r="DE11">
        <v>0</v>
      </c>
      <c r="DF11">
        <v>2</v>
      </c>
      <c r="DG11">
        <v>0</v>
      </c>
      <c r="DH11">
        <v>0</v>
      </c>
      <c r="DI11">
        <v>3</v>
      </c>
      <c r="DJ11">
        <v>0</v>
      </c>
      <c r="DK11">
        <v>0</v>
      </c>
      <c r="DL11">
        <v>0</v>
      </c>
      <c r="DM11">
        <v>1</v>
      </c>
      <c r="DN11">
        <v>0</v>
      </c>
      <c r="DO11">
        <v>1</v>
      </c>
      <c r="DP11">
        <v>0</v>
      </c>
      <c r="DQ11" s="5">
        <v>0</v>
      </c>
      <c r="DR11" s="5">
        <v>0</v>
      </c>
      <c r="DS11" s="5">
        <v>0.33300000000000002</v>
      </c>
      <c r="DT11" s="5">
        <v>0</v>
      </c>
      <c r="DU11" s="5">
        <v>0.66700000000000004</v>
      </c>
      <c r="DV11" s="5">
        <v>0</v>
      </c>
      <c r="DW11" s="5">
        <v>0</v>
      </c>
      <c r="DX11" s="5">
        <v>1</v>
      </c>
      <c r="DY11" s="5">
        <v>0</v>
      </c>
      <c r="DZ11" s="5">
        <v>0</v>
      </c>
      <c r="EA11" s="5">
        <v>0</v>
      </c>
      <c r="EB11" s="5">
        <v>0.33300000000000002</v>
      </c>
      <c r="EC11" s="5">
        <v>0</v>
      </c>
      <c r="ED11" s="5">
        <v>0.33300000000000002</v>
      </c>
      <c r="EE11" s="5">
        <v>0</v>
      </c>
      <c r="EF11" s="36">
        <f>VLOOKUP($A11,'[6]Updated (2)'!$A$2:$Q$54,2,FALSE)</f>
        <v>0</v>
      </c>
      <c r="EG11" s="36">
        <f>VLOOKUP($A11,'[6]Updated (2)'!$A$2:$Q$54,3,FALSE)</f>
        <v>0</v>
      </c>
      <c r="EH11" s="36">
        <f>VLOOKUP($A11,'[6]Updated (2)'!$A$2:$Q$54,4,FALSE)</f>
        <v>0</v>
      </c>
      <c r="EI11" s="36">
        <f>VLOOKUP($A11,'[6]Updated (2)'!$A$2:$Q$54,5,FALSE)</f>
        <v>0</v>
      </c>
      <c r="EJ11" s="48">
        <f>VLOOKUP($A11,'[6]Updated (2)'!$A$2:$Q$54,6,FALSE)</f>
        <v>0</v>
      </c>
      <c r="EK11" s="48">
        <f>VLOOKUP($A11,'[6]Updated (2)'!$A$2:$Q$54,7,FALSE)</f>
        <v>0</v>
      </c>
      <c r="EL11" s="48">
        <f>VLOOKUP($A11,'[6]Updated (2)'!$A$2:$Q$54,8,FALSE)</f>
        <v>0</v>
      </c>
      <c r="EM11" s="48">
        <f>VLOOKUP($A11,'[6]Updated (2)'!$A$2:$Q$54,9,FALSE)</f>
        <v>0</v>
      </c>
      <c r="EN11" s="36">
        <f>VLOOKUP($A11,'[6]Updated (2)'!$A$2:$Q$54,10,FALSE)</f>
        <v>0</v>
      </c>
      <c r="EO11" s="36">
        <f>VLOOKUP($A11,'[6]Updated (2)'!$A$2:$Q$54,11,FALSE)</f>
        <v>0</v>
      </c>
      <c r="EP11" s="36">
        <f>VLOOKUP($A11,'[6]Updated (2)'!$A$2:$Q$54,12,FALSE)</f>
        <v>0</v>
      </c>
      <c r="EQ11" s="36">
        <f>VLOOKUP($A11,'[6]Updated (2)'!$A$2:$Q$54,13,FALSE)</f>
        <v>0</v>
      </c>
      <c r="ER11" s="48">
        <f>VLOOKUP($A11,'[6]Updated (2)'!$A$2:$Q$54,14,FALSE)</f>
        <v>0</v>
      </c>
      <c r="ES11" s="48">
        <f>VLOOKUP($A11,'[6]Updated (2)'!$A$2:$Q$54,15,FALSE)</f>
        <v>0</v>
      </c>
      <c r="ET11" s="48">
        <f>VLOOKUP($A11,'[6]Updated (2)'!$A$2:$Q$54,16,FALSE)</f>
        <v>0</v>
      </c>
      <c r="EU11" s="48">
        <f>VLOOKUP($A11,'[6]Updated (2)'!$A$2:$Q$54,17,FALSE)</f>
        <v>0</v>
      </c>
      <c r="EV11" s="37">
        <f>VLOOKUP($A11,[7]Totals!$A11:$F62,3,FALSE)-SUM(EF11:EI11)</f>
        <v>33840702.210000023</v>
      </c>
      <c r="EW11" s="37">
        <f>VLOOKUP($A11,[7]Totals!$A11:$F62,4,FALSE)-SUM(EJ11:EM11)</f>
        <v>31059286.799999967</v>
      </c>
      <c r="EX11" s="37">
        <f>VLOOKUP($A11,[7]Totals!$A11:$F62,5,FALSE)-SUM(EN11:EQ11)</f>
        <v>33959855.650000036</v>
      </c>
      <c r="EY11" s="37">
        <f>VLOOKUP($A11,[7]Totals!$A11:$F62,6,FALSE)-SUM(ER11:EU11)</f>
        <v>36259067.519999973</v>
      </c>
      <c r="EZ11" s="52">
        <f t="shared" si="2"/>
        <v>20912.816998109</v>
      </c>
      <c r="FA11" s="52">
        <f t="shared" si="3"/>
        <v>19523.705440487771</v>
      </c>
      <c r="FB11" s="52">
        <f t="shared" si="4"/>
        <v>21699.310967272006</v>
      </c>
      <c r="FC11" s="52">
        <f t="shared" si="5"/>
        <v>24202.884609479799</v>
      </c>
      <c r="FD11" s="37">
        <f>VLOOKUP($A11,[8]Totals!$A$2:$F$54,3)-SUM(EF11:EI11)</f>
        <v>31480090.670000006</v>
      </c>
      <c r="FE11" s="37">
        <f>VLOOKUP($A11,[8]Totals!$A$2:$F$54,4)-SUM(EJ11:EM11)</f>
        <v>29875640.369999964</v>
      </c>
      <c r="FF11" s="37">
        <f>VLOOKUP($A11,[8]Totals!$A$2:$F$54,5)-SUM(EN11:EQ11)</f>
        <v>32395188.090000015</v>
      </c>
      <c r="FG11" s="37">
        <f>VLOOKUP($A11,[8]Totals!$A$2:$F$54,6)-SUM(ER11:EU11)</f>
        <v>34623438.849999942</v>
      </c>
      <c r="FH11" s="52">
        <f t="shared" si="6"/>
        <v>19454.010474730872</v>
      </c>
      <c r="FI11" s="52">
        <f t="shared" si="7"/>
        <v>18779.671477512002</v>
      </c>
      <c r="FJ11" s="52">
        <f t="shared" si="8"/>
        <v>20699.536165672012</v>
      </c>
      <c r="FK11" s="52">
        <f t="shared" si="9"/>
        <v>23111.104410164633</v>
      </c>
      <c r="FL11" s="37">
        <f>VLOOKUP($A11,[9]Totals!$A$3:$F$54,3)-SUM(EF11:EI11)</f>
        <v>28721939.100000013</v>
      </c>
      <c r="FM11" s="37">
        <f>VLOOKUP($A11,[9]Totals!$A$3:$F$54,4)-SUM(EJ11:EM11)</f>
        <v>27330894.93999999</v>
      </c>
      <c r="FN11" s="37">
        <f>VLOOKUP($A11,[9]Totals!$A$3:$F$54,5)-SUM(EN11:EQ11)</f>
        <v>29840762.269999981</v>
      </c>
      <c r="FO11" s="37">
        <f>VLOOKUP($A11,[9]Totals!$A$3:$F$54,6)-SUM(ER11:EU11)</f>
        <v>31392298.12999991</v>
      </c>
      <c r="FP11" s="52">
        <f t="shared" si="10"/>
        <v>17749.532870261661</v>
      </c>
      <c r="FQ11" s="52">
        <f t="shared" si="11"/>
        <v>17180.057793003736</v>
      </c>
      <c r="FR11" s="52">
        <f t="shared" si="12"/>
        <v>19067.336053213367</v>
      </c>
      <c r="FS11" s="52">
        <f t="shared" si="13"/>
        <v>20954.321807853728</v>
      </c>
      <c r="FT11" s="37">
        <f>VLOOKUP($A11,[10]Calculations!$AF$3:$AJ$54,2,FALSE)-EI11</f>
        <v>9267292.8300000001</v>
      </c>
      <c r="FU11" s="37">
        <f>VLOOKUP($A11,[10]Calculations!$AF$3:$AJ$54,3,FALSE)-EM11</f>
        <v>8972052.3500000034</v>
      </c>
      <c r="FV11" s="37">
        <f>VLOOKUP($A11,[10]Calculations!$AF$3:$AJ$54,4,FALSE)-EQ11</f>
        <v>8805196.1300000027</v>
      </c>
      <c r="FW11" s="37">
        <f>VLOOKUP($A11,[10]Calculations!$AF$3:$AJ$54,5,FALSE)-EU11</f>
        <v>8622839.9971301798</v>
      </c>
      <c r="FX11" s="52">
        <f t="shared" si="14"/>
        <v>27746.385718562873</v>
      </c>
      <c r="FY11" s="52">
        <f t="shared" si="15"/>
        <v>26388.389264705893</v>
      </c>
      <c r="FZ11" s="52">
        <f t="shared" si="16"/>
        <v>26050.876124260361</v>
      </c>
      <c r="GA11" s="52">
        <f t="shared" si="17"/>
        <v>26050.876124260361</v>
      </c>
    </row>
    <row r="12" spans="1:183" ht="15.75" x14ac:dyDescent="0.25">
      <c r="A12" s="66" t="s">
        <v>244</v>
      </c>
      <c r="B12" s="66" t="s">
        <v>245</v>
      </c>
      <c r="C12" s="67">
        <v>1</v>
      </c>
      <c r="D12" s="68" t="s">
        <v>240</v>
      </c>
      <c r="E12">
        <v>1</v>
      </c>
      <c r="F12" s="27">
        <v>687</v>
      </c>
      <c r="G12" s="27">
        <v>667</v>
      </c>
      <c r="H12" s="27">
        <v>686</v>
      </c>
      <c r="I12" s="27">
        <v>702</v>
      </c>
      <c r="J12" s="23">
        <v>103</v>
      </c>
      <c r="K12" s="23">
        <v>93</v>
      </c>
      <c r="L12" s="23">
        <v>99</v>
      </c>
      <c r="M12" s="23">
        <v>97</v>
      </c>
      <c r="N12" s="27">
        <v>584</v>
      </c>
      <c r="O12" s="27">
        <v>574</v>
      </c>
      <c r="P12" s="27">
        <v>587</v>
      </c>
      <c r="Q12" s="27">
        <v>605</v>
      </c>
      <c r="R12" s="25">
        <f>VLOOKUP($A12,'ADM, LTADM'!$B:$L,2,FALSE)</f>
        <v>1120.8499999999999</v>
      </c>
      <c r="S12" s="25">
        <f>VLOOKUP($A12,'ADM, LTADM'!$B:$L,3,FALSE)</f>
        <v>1118.4000000000001</v>
      </c>
      <c r="T12" s="25">
        <f>VLOOKUP($A12,'ADM, LTADM'!$B:$L,4,FALSE)</f>
        <v>1066.81</v>
      </c>
      <c r="U12" s="25">
        <f>VLOOKUP($A12,'ADM, LTADM'!$B:$L,5,FALSE)</f>
        <v>1071.04</v>
      </c>
      <c r="V12" s="29">
        <f>VLOOKUP($A12,'ADM, LTADM'!$B:$L,7,FALSE)</f>
        <v>1109.3800000000001</v>
      </c>
      <c r="W12" s="29">
        <f>VLOOKUP($A12,'ADM, LTADM'!$B:$L,8,FALSE)</f>
        <v>1119.0999999999999</v>
      </c>
      <c r="X12" s="29">
        <f>VLOOKUP($A12,'ADM, LTADM'!$B:$L,9,FALSE)</f>
        <v>1093.27</v>
      </c>
      <c r="Y12" s="29">
        <f>VLOOKUP($A12,'ADM, LTADM'!$B:$L,10,FALSE)</f>
        <v>1069.1400000000001</v>
      </c>
      <c r="Z12" s="10">
        <v>1162.1300000000001</v>
      </c>
      <c r="AA12" s="10">
        <v>1150.8</v>
      </c>
      <c r="AB12" s="10">
        <v>1156.78</v>
      </c>
      <c r="AC12" s="10">
        <v>1126.1099999999999</v>
      </c>
      <c r="AD12" s="2">
        <v>0.57363013698630139</v>
      </c>
      <c r="AE12" s="2">
        <v>0.489247311827957</v>
      </c>
      <c r="AF12" s="2">
        <v>0.55833333333333335</v>
      </c>
      <c r="AG12" s="2">
        <v>0.51863857374392219</v>
      </c>
      <c r="AH12" s="2">
        <f t="shared" si="0"/>
        <v>0.54040359404919724</v>
      </c>
      <c r="AI12" s="46">
        <f>VLOOKUP(A12,'[1]SU_SD IDEA 3-21'!$A:$B,2,FALSE)</f>
        <v>222</v>
      </c>
      <c r="AJ12" s="46">
        <f>VLOOKUP(A12,'[2]SU_SD IDEA 3-21'!$A:$B,2,FALSE)</f>
        <v>229</v>
      </c>
      <c r="AK12" s="46">
        <f>VLOOKUP(A12,'[3]SU_SD IDEA 3-21'!$A:$B,2,FALSE)</f>
        <v>249</v>
      </c>
      <c r="AL12" s="46">
        <f>VLOOKUP($A12,'[4]SU_SD IDEA 3-21'!$A:$B,2,FALSE)</f>
        <v>260</v>
      </c>
      <c r="AM12" s="22">
        <f t="shared" si="18"/>
        <v>0.19806396930900658</v>
      </c>
      <c r="AN12" s="22">
        <f t="shared" si="19"/>
        <v>0.20475679542203146</v>
      </c>
      <c r="AO12" s="22">
        <f t="shared" si="20"/>
        <v>0.23340613605046823</v>
      </c>
      <c r="AP12" s="22">
        <f t="shared" si="21"/>
        <v>0.24275470570660293</v>
      </c>
      <c r="AQ12" s="26">
        <v>0</v>
      </c>
      <c r="AR12" s="26">
        <v>0</v>
      </c>
      <c r="AS12" s="26" t="s">
        <v>222</v>
      </c>
      <c r="AT12" s="26">
        <v>0</v>
      </c>
      <c r="AU12" s="2">
        <v>0.32972972972972975</v>
      </c>
      <c r="AV12" s="2">
        <v>0.457286432160804</v>
      </c>
      <c r="AW12" s="2">
        <v>0.5436893203883495</v>
      </c>
      <c r="AX12" s="2">
        <v>0.4271047227926078</v>
      </c>
      <c r="AY12" s="2">
        <v>0.36216216216216218</v>
      </c>
      <c r="AZ12" s="2">
        <v>0.28140703517587939</v>
      </c>
      <c r="BA12" s="2">
        <v>0.33653846153846156</v>
      </c>
      <c r="BB12" s="2">
        <v>0.32377049180327871</v>
      </c>
      <c r="BC12" s="2">
        <v>0.45283018867924529</v>
      </c>
      <c r="BD12" s="2">
        <v>0.51948051948051943</v>
      </c>
      <c r="BE12" s="2" t="s">
        <v>222</v>
      </c>
      <c r="BF12" s="8">
        <v>0.51</v>
      </c>
      <c r="BG12" s="2">
        <v>0.26415094339622641</v>
      </c>
      <c r="BH12" s="2">
        <v>0.36956521739130432</v>
      </c>
      <c r="BI12" s="2" t="s">
        <v>222</v>
      </c>
      <c r="BJ12" s="8">
        <v>0.35</v>
      </c>
      <c r="BK12" s="31">
        <f>VLOOKUP($A12,[5]FY20!$W:$AF,7,FALSE)</f>
        <v>9.5890410958904102</v>
      </c>
      <c r="BL12" s="31">
        <f>VLOOKUP($A12,[5]FY20!$W:$AF,8,FALSE)</f>
        <v>1.5410958904109588</v>
      </c>
      <c r="BM12" s="31">
        <f>VLOOKUP($A12,[5]FY20!$W:$AF,9,FALSE)</f>
        <v>1.9863013698630134</v>
      </c>
      <c r="BN12" s="31">
        <f>VLOOKUP($A12,[5]FY20!$W:$AF,10,FALSE)</f>
        <v>3.9897260273972606</v>
      </c>
      <c r="BO12" s="55">
        <f>VLOOKUP($A12,[5]FY21!$W:$AF,7,FALSE)</f>
        <v>16.222996515679444</v>
      </c>
      <c r="BP12" s="55">
        <f>VLOOKUP($A12,[5]FY21!$W:$AF,8,FALSE)</f>
        <v>2.003484320557491</v>
      </c>
      <c r="BQ12" s="55">
        <f>VLOOKUP($A12,[5]FY21!$W:$AF,9,FALSE)</f>
        <v>2.264808362369338</v>
      </c>
      <c r="BR12" s="55">
        <f>VLOOKUP($A12,[5]FY21!$W:$AF,10,FALSE)</f>
        <v>5.3832752613240418</v>
      </c>
      <c r="BS12" s="31">
        <f>VLOOKUP($A12,[5]FY22!$W:$AF,7,FALSE)</f>
        <v>16.899488926746166</v>
      </c>
      <c r="BT12" s="31">
        <f>VLOOKUP($A12,[5]FY22!$W:$AF,8,FALSE)</f>
        <v>1.8739352640545146</v>
      </c>
      <c r="BU12" s="31">
        <f>VLOOKUP($A12,[5]FY22!$W:$AF,9,FALSE)</f>
        <v>2.9642248722316862</v>
      </c>
      <c r="BV12" s="31">
        <f>VLOOKUP($A12,[5]FY22!$W:$AF,10,FALSE)</f>
        <v>5.3492333901192506</v>
      </c>
      <c r="BW12" s="55">
        <f>VLOOKUP($A12,[5]FY23!$W:$AF,7,FALSE)</f>
        <v>11.603305785123966</v>
      </c>
      <c r="BX12" s="55">
        <f>VLOOKUP($A12,[5]FY23!$W:$AF,8,FALSE)</f>
        <v>1.4876033057851239</v>
      </c>
      <c r="BY12" s="55">
        <f>VLOOKUP($A12,[5]FY23!$W:$AF,9,FALSE)</f>
        <v>3.2148760330578514</v>
      </c>
      <c r="BZ12" s="55">
        <f>VLOOKUP($A12,[5]FY23!$W:$AF,10,FALSE)</f>
        <v>4.5669421487603303</v>
      </c>
      <c r="CA12" s="37">
        <f>VLOOKUP($A12,[5]FY20!$W:$AF,3,FALSE)</f>
        <v>55628.807142857149</v>
      </c>
      <c r="CB12" s="37">
        <f>VLOOKUP($A12,[5]FY20!$W:$AF,4,FALSE)</f>
        <v>51419.666666666664</v>
      </c>
      <c r="CC12" s="37">
        <f>VLOOKUP($A12,[5]FY20!$W:$AF,5,FALSE)</f>
        <v>59509.910344827593</v>
      </c>
      <c r="CD12" s="37">
        <f>VLOOKUP($A12,[5]FY20!$W:$AF,6,FALSE)</f>
        <v>49900.08025751073</v>
      </c>
      <c r="CE12" s="52">
        <f>VLOOKUP($A12,[5]FY21!$W:$AF,3,FALSE)</f>
        <v>40503.10126718213</v>
      </c>
      <c r="CF12" s="52">
        <f>VLOOKUP($A12,[5]FY21!$W:$AF,4,FALSE)</f>
        <v>57227.348695652174</v>
      </c>
      <c r="CG12" s="52">
        <f>VLOOKUP($A12,[5]FY21!$W:$AF,5,FALSE)</f>
        <v>55394.079230769232</v>
      </c>
      <c r="CH12" s="52">
        <f>VLOOKUP($A12,[5]FY21!$W:$AF,6,FALSE)</f>
        <v>38971.321359223293</v>
      </c>
      <c r="CI12" s="37">
        <f>VLOOKUP($A12,[5]FY22!$W:$AF,3,FALSE)</f>
        <v>35876.272580645164</v>
      </c>
      <c r="CJ12" s="37">
        <f>VLOOKUP($A12,[5]FY22!$W:$AF,4,FALSE)</f>
        <v>54953.181818181816</v>
      </c>
      <c r="CK12" s="37">
        <f>VLOOKUP($A12,[5]FY22!$W:$AF,5,FALSE)</f>
        <v>43748.698850574714</v>
      </c>
      <c r="CL12" s="37">
        <f>VLOOKUP($A12,[5]FY22!$W:$AF,6,FALSE)</f>
        <v>36608.546496815281</v>
      </c>
      <c r="CM12" s="52">
        <f>VLOOKUP($A12,[5]FY23!$W:$AF,3,FALSE)</f>
        <v>63954.056980056972</v>
      </c>
      <c r="CN12" s="52">
        <f>VLOOKUP($A12,[5]FY23!$W:$AF,4,FALSE)</f>
        <v>57992.666666666664</v>
      </c>
      <c r="CO12" s="52">
        <f>VLOOKUP($A12,[5]FY23!$W:$AF,5,FALSE)</f>
        <v>51169.24987146529</v>
      </c>
      <c r="CP12" s="52">
        <f>VLOOKUP($A12,[5]FY23!$W:$AF,6,FALSE)</f>
        <v>50596.820846905532</v>
      </c>
      <c r="CQ12" s="5" t="s">
        <v>222</v>
      </c>
      <c r="CR12" s="4" t="s">
        <v>222</v>
      </c>
      <c r="CS12" s="4" t="s">
        <v>222</v>
      </c>
      <c r="CT12" s="4" t="s">
        <v>222</v>
      </c>
      <c r="CU12" s="4" t="s">
        <v>222</v>
      </c>
      <c r="CV12" s="4" t="s">
        <v>222</v>
      </c>
      <c r="CW12" s="4" t="s">
        <v>222</v>
      </c>
      <c r="CX12" s="4" t="s">
        <v>222</v>
      </c>
      <c r="CY12" t="s">
        <v>223</v>
      </c>
      <c r="CZ12" t="s">
        <v>243</v>
      </c>
      <c r="DA12" t="s">
        <v>243</v>
      </c>
      <c r="DB12">
        <v>0</v>
      </c>
      <c r="DC12">
        <v>0</v>
      </c>
      <c r="DD12">
        <v>1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1</v>
      </c>
      <c r="DL12">
        <v>0</v>
      </c>
      <c r="DM12">
        <v>0</v>
      </c>
      <c r="DN12">
        <v>0</v>
      </c>
      <c r="DO12">
        <v>0</v>
      </c>
      <c r="DP12">
        <v>0</v>
      </c>
      <c r="DQ12" s="5">
        <v>0</v>
      </c>
      <c r="DR12" s="5">
        <v>0</v>
      </c>
      <c r="DS12" s="5">
        <v>1</v>
      </c>
      <c r="DT12" s="5">
        <v>0</v>
      </c>
      <c r="DU12" s="5">
        <v>0</v>
      </c>
      <c r="DV12" s="5">
        <v>0</v>
      </c>
      <c r="DW12" s="5">
        <v>0</v>
      </c>
      <c r="DX12" s="5">
        <v>0</v>
      </c>
      <c r="DY12" s="5">
        <v>0</v>
      </c>
      <c r="DZ12" s="5">
        <v>1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36">
        <f>VLOOKUP($A12,'[6]Updated (2)'!$A$2:$Q$54,2,FALSE)</f>
        <v>0</v>
      </c>
      <c r="EG12" s="36">
        <f>VLOOKUP($A12,'[6]Updated (2)'!$A$2:$Q$54,3,FALSE)</f>
        <v>0</v>
      </c>
      <c r="EH12" s="36">
        <f>VLOOKUP($A12,'[6]Updated (2)'!$A$2:$Q$54,4,FALSE)</f>
        <v>0</v>
      </c>
      <c r="EI12" s="36">
        <f>VLOOKUP($A12,'[6]Updated (2)'!$A$2:$Q$54,5,FALSE)</f>
        <v>0</v>
      </c>
      <c r="EJ12" s="48">
        <f>VLOOKUP($A12,'[6]Updated (2)'!$A$2:$Q$54,6,FALSE)</f>
        <v>0</v>
      </c>
      <c r="EK12" s="48">
        <f>VLOOKUP($A12,'[6]Updated (2)'!$A$2:$Q$54,7,FALSE)</f>
        <v>0</v>
      </c>
      <c r="EL12" s="48">
        <f>VLOOKUP($A12,'[6]Updated (2)'!$A$2:$Q$54,8,FALSE)</f>
        <v>0</v>
      </c>
      <c r="EM12" s="48">
        <f>VLOOKUP($A12,'[6]Updated (2)'!$A$2:$Q$54,9,FALSE)</f>
        <v>0</v>
      </c>
      <c r="EN12" s="36">
        <f>VLOOKUP($A12,'[6]Updated (2)'!$A$2:$Q$54,10,FALSE)</f>
        <v>0</v>
      </c>
      <c r="EO12" s="36">
        <f>VLOOKUP($A12,'[6]Updated (2)'!$A$2:$Q$54,11,FALSE)</f>
        <v>0</v>
      </c>
      <c r="EP12" s="36">
        <f>VLOOKUP($A12,'[6]Updated (2)'!$A$2:$Q$54,12,FALSE)</f>
        <v>0</v>
      </c>
      <c r="EQ12" s="36">
        <f>VLOOKUP($A12,'[6]Updated (2)'!$A$2:$Q$54,13,FALSE)</f>
        <v>0</v>
      </c>
      <c r="ER12" s="48">
        <f>VLOOKUP($A12,'[6]Updated (2)'!$A$2:$Q$54,14,FALSE)</f>
        <v>0</v>
      </c>
      <c r="ES12" s="48">
        <f>VLOOKUP($A12,'[6]Updated (2)'!$A$2:$Q$54,15,FALSE)</f>
        <v>0</v>
      </c>
      <c r="ET12" s="48">
        <f>VLOOKUP($A12,'[6]Updated (2)'!$A$2:$Q$54,16,FALSE)</f>
        <v>0</v>
      </c>
      <c r="EU12" s="48">
        <f>VLOOKUP($A12,'[6]Updated (2)'!$A$2:$Q$54,17,FALSE)</f>
        <v>0</v>
      </c>
      <c r="EV12" s="37">
        <f>VLOOKUP($A12,[7]Totals!$A12:$F63,3,FALSE)-SUM(EF12:EI12)</f>
        <v>23491556.120000008</v>
      </c>
      <c r="EW12" s="37">
        <f>VLOOKUP($A12,[7]Totals!$A12:$F63,4,FALSE)-SUM(EJ12:EM12)</f>
        <v>29338682.709999993</v>
      </c>
      <c r="EX12" s="37">
        <f>VLOOKUP($A12,[7]Totals!$A12:$F63,5,FALSE)-SUM(EN12:EQ12)</f>
        <v>29120634.75999999</v>
      </c>
      <c r="EY12" s="37">
        <f>VLOOKUP($A12,[7]Totals!$A12:$F63,6,FALSE)-SUM(ER12:EU12)</f>
        <v>30470903.150000006</v>
      </c>
      <c r="EZ12" s="52">
        <f t="shared" si="2"/>
        <v>21175.391768375135</v>
      </c>
      <c r="FA12" s="52">
        <f t="shared" si="3"/>
        <v>26216.319104637652</v>
      </c>
      <c r="FB12" s="52">
        <f t="shared" si="4"/>
        <v>26636.269869291202</v>
      </c>
      <c r="FC12" s="52">
        <f t="shared" si="5"/>
        <v>28500.386432085605</v>
      </c>
      <c r="FD12" s="37">
        <f>VLOOKUP($A12,[8]Totals!$A$2:$F$54,3)-SUM(EF12:EI12)</f>
        <v>22489128.160000008</v>
      </c>
      <c r="FE12" s="37">
        <f>VLOOKUP($A12,[8]Totals!$A$2:$F$54,4)-SUM(EJ12:EM12)</f>
        <v>26363125.339999985</v>
      </c>
      <c r="FF12" s="37">
        <f>VLOOKUP($A12,[8]Totals!$A$2:$F$54,5)-SUM(EN12:EQ12)</f>
        <v>28617265.359999996</v>
      </c>
      <c r="FG12" s="37">
        <f>VLOOKUP($A12,[8]Totals!$A$2:$F$54,6)-SUM(ER12:EU12)</f>
        <v>29885531.360000011</v>
      </c>
      <c r="FH12" s="52">
        <f t="shared" si="6"/>
        <v>20271.798806540595</v>
      </c>
      <c r="FI12" s="52">
        <f t="shared" si="7"/>
        <v>23557.434849432568</v>
      </c>
      <c r="FJ12" s="52">
        <f t="shared" si="8"/>
        <v>26175.844356837741</v>
      </c>
      <c r="FK12" s="52">
        <f t="shared" si="9"/>
        <v>27952.869932843227</v>
      </c>
      <c r="FL12" s="37">
        <f>VLOOKUP($A12,[9]Totals!$A$3:$F$54,3)-SUM(EF12:EI12)</f>
        <v>20750510.47000001</v>
      </c>
      <c r="FM12" s="37">
        <f>VLOOKUP($A12,[9]Totals!$A$3:$F$54,4)-SUM(EJ12:EM12)</f>
        <v>23911152.27999999</v>
      </c>
      <c r="FN12" s="37">
        <f>VLOOKUP($A12,[9]Totals!$A$3:$F$54,5)-SUM(EN12:EQ12)</f>
        <v>25301042.299999993</v>
      </c>
      <c r="FO12" s="37">
        <f>VLOOKUP($A12,[9]Totals!$A$3:$F$54,6)-SUM(ER12:EU12)</f>
        <v>25324649.700000007</v>
      </c>
      <c r="FP12" s="52">
        <f t="shared" si="10"/>
        <v>18704.601191656609</v>
      </c>
      <c r="FQ12" s="52">
        <f t="shared" si="11"/>
        <v>21366.41254579572</v>
      </c>
      <c r="FR12" s="52">
        <f t="shared" si="12"/>
        <v>23142.537799445694</v>
      </c>
      <c r="FS12" s="52">
        <f t="shared" si="13"/>
        <v>23686.935013188173</v>
      </c>
      <c r="FT12" s="37">
        <f>VLOOKUP($A12,[10]Calculations!$AF$3:$AJ$54,2,FALSE)-EI12</f>
        <v>5756273.6999999983</v>
      </c>
      <c r="FU12" s="37">
        <f>VLOOKUP($A12,[10]Calculations!$AF$3:$AJ$54,3,FALSE)-EM12</f>
        <v>6056698.1700000018</v>
      </c>
      <c r="FV12" s="37">
        <f>VLOOKUP($A12,[10]Calculations!$AF$3:$AJ$54,4,FALSE)-EQ12</f>
        <v>6462557.0599999996</v>
      </c>
      <c r="FW12" s="37">
        <f>VLOOKUP($A12,[10]Calculations!$AF$3:$AJ$54,5,FALSE)-EU12</f>
        <v>6748051.548594377</v>
      </c>
      <c r="FX12" s="52">
        <f t="shared" si="14"/>
        <v>25929.160810810805</v>
      </c>
      <c r="FY12" s="52">
        <f t="shared" si="15"/>
        <v>26448.463624454158</v>
      </c>
      <c r="FZ12" s="52">
        <f t="shared" si="16"/>
        <v>25954.044417670681</v>
      </c>
      <c r="GA12" s="52">
        <f t="shared" si="17"/>
        <v>25954.044417670681</v>
      </c>
    </row>
    <row r="13" spans="1:183" ht="15.75" x14ac:dyDescent="0.25">
      <c r="A13" s="66" t="s">
        <v>246</v>
      </c>
      <c r="B13" s="66" t="s">
        <v>247</v>
      </c>
      <c r="C13" s="67">
        <v>4</v>
      </c>
      <c r="D13" s="68" t="s">
        <v>221</v>
      </c>
      <c r="E13">
        <v>8</v>
      </c>
      <c r="F13" s="27">
        <v>2632</v>
      </c>
      <c r="G13" s="27">
        <v>2546</v>
      </c>
      <c r="H13" s="27">
        <v>2605</v>
      </c>
      <c r="I13" s="27">
        <v>2611</v>
      </c>
      <c r="J13" s="23">
        <v>306</v>
      </c>
      <c r="K13" s="23">
        <v>253</v>
      </c>
      <c r="L13" s="23">
        <v>275</v>
      </c>
      <c r="M13" s="23">
        <v>291</v>
      </c>
      <c r="N13" s="27">
        <v>2326</v>
      </c>
      <c r="O13" s="27">
        <v>2293</v>
      </c>
      <c r="P13" s="27">
        <v>2330</v>
      </c>
      <c r="Q13" s="27">
        <v>2320</v>
      </c>
      <c r="R13" s="25">
        <f>VLOOKUP($A13,'ADM, LTADM'!$B:$L,2,FALSE)</f>
        <v>2651.3</v>
      </c>
      <c r="S13" s="25">
        <f>VLOOKUP($A13,'ADM, LTADM'!$B:$L,3,FALSE)</f>
        <v>2637</v>
      </c>
      <c r="T13" s="25">
        <f>VLOOKUP($A13,'ADM, LTADM'!$B:$L,4,FALSE)</f>
        <v>2612.02</v>
      </c>
      <c r="U13" s="25">
        <f>VLOOKUP($A13,'ADM, LTADM'!$B:$L,5,FALSE)</f>
        <v>2612.0699999999997</v>
      </c>
      <c r="V13" s="29">
        <f>VLOOKUP($A13,'ADM, LTADM'!$B:$L,7,FALSE)</f>
        <v>2639.27</v>
      </c>
      <c r="W13" s="29">
        <f>VLOOKUP($A13,'ADM, LTADM'!$B:$L,8,FALSE)</f>
        <v>2639.18</v>
      </c>
      <c r="X13" s="29">
        <f>VLOOKUP($A13,'ADM, LTADM'!$B:$L,9,FALSE)</f>
        <v>2627.62</v>
      </c>
      <c r="Y13" s="29">
        <f>VLOOKUP($A13,'ADM, LTADM'!$B:$L,10,FALSE)</f>
        <v>2610.6400000000003</v>
      </c>
      <c r="Z13" s="10">
        <v>2529.48</v>
      </c>
      <c r="AA13" s="10">
        <v>2538.83</v>
      </c>
      <c r="AB13" s="10">
        <v>2528.13</v>
      </c>
      <c r="AC13" s="10">
        <v>2512.09</v>
      </c>
      <c r="AD13" s="2">
        <v>0.13729683490162531</v>
      </c>
      <c r="AE13" s="2">
        <v>0.11867290514674607</v>
      </c>
      <c r="AF13" s="2">
        <v>0.10688635403464301</v>
      </c>
      <c r="AG13" s="2">
        <v>8.2910321489001695E-2</v>
      </c>
      <c r="AH13" s="2">
        <f t="shared" si="0"/>
        <v>0.1209520313610048</v>
      </c>
      <c r="AI13" s="46">
        <f>VLOOKUP(A13,'[1]SU_SD IDEA 3-21'!$A:$B,2,FALSE)</f>
        <v>397</v>
      </c>
      <c r="AJ13" s="46">
        <f>VLOOKUP(A13,'[2]SU_SD IDEA 3-21'!$A:$B,2,FALSE)</f>
        <v>385</v>
      </c>
      <c r="AK13" s="46">
        <f>VLOOKUP(A13,'[3]SU_SD IDEA 3-21'!$A:$B,2,FALSE)</f>
        <v>378</v>
      </c>
      <c r="AL13" s="46">
        <f>VLOOKUP($A13,'[4]SU_SD IDEA 3-21'!$A:$B,2,FALSE)</f>
        <v>388</v>
      </c>
      <c r="AM13" s="22">
        <f t="shared" si="18"/>
        <v>0.14973786444385773</v>
      </c>
      <c r="AN13" s="22">
        <f t="shared" si="19"/>
        <v>0.1459992415623815</v>
      </c>
      <c r="AO13" s="22">
        <f t="shared" si="20"/>
        <v>0.14471558410731925</v>
      </c>
      <c r="AP13" s="22">
        <f t="shared" si="21"/>
        <v>0.14854119529721641</v>
      </c>
      <c r="AQ13" s="26" t="s">
        <v>222</v>
      </c>
      <c r="AR13" s="26" t="s">
        <v>222</v>
      </c>
      <c r="AS13" s="26" t="s">
        <v>222</v>
      </c>
      <c r="AT13" s="26" t="s">
        <v>222</v>
      </c>
      <c r="AU13" s="2">
        <v>0.66369047619047616</v>
      </c>
      <c r="AV13" s="2">
        <v>0.64751958224543082</v>
      </c>
      <c r="AW13" s="2" t="s">
        <v>222</v>
      </c>
      <c r="AX13" s="2">
        <v>0.65507649513212796</v>
      </c>
      <c r="AY13" s="2">
        <v>0.63508064516129037</v>
      </c>
      <c r="AZ13" s="2">
        <v>0.63291139240506333</v>
      </c>
      <c r="BA13" s="2">
        <v>0.57923497267759561</v>
      </c>
      <c r="BB13" s="2">
        <v>0.62581168831168832</v>
      </c>
      <c r="BC13" s="2">
        <v>0.63003663003663002</v>
      </c>
      <c r="BD13" s="2" t="s">
        <v>222</v>
      </c>
      <c r="BE13" s="2" t="s">
        <v>222</v>
      </c>
      <c r="BF13" s="8">
        <v>0.63</v>
      </c>
      <c r="BG13" s="2">
        <v>0.4519056261343013</v>
      </c>
      <c r="BH13" s="2" t="s">
        <v>222</v>
      </c>
      <c r="BI13" s="2" t="s">
        <v>222</v>
      </c>
      <c r="BJ13" s="8">
        <v>0.45</v>
      </c>
      <c r="BK13" s="31">
        <f>VLOOKUP($A13,[5]FY20!$W:$AF,7,FALSE)</f>
        <v>9.5692175408426472</v>
      </c>
      <c r="BL13" s="31">
        <f>VLOOKUP($A13,[5]FY20!$W:$AF,8,FALSE)</f>
        <v>0.68787618228718828</v>
      </c>
      <c r="BM13" s="31">
        <f>VLOOKUP($A13,[5]FY20!$W:$AF,9,FALSE)</f>
        <v>2.653482373172829</v>
      </c>
      <c r="BN13" s="31">
        <f>VLOOKUP($A13,[5]FY20!$W:$AF,10,FALSE)</f>
        <v>3.8602751504729151</v>
      </c>
      <c r="BO13" s="55">
        <f>VLOOKUP($A13,[5]FY21!$W:$AF,7,FALSE)</f>
        <v>10.091583078935892</v>
      </c>
      <c r="BP13" s="55">
        <f>VLOOKUP($A13,[5]FY21!$W:$AF,8,FALSE)</f>
        <v>1.5787178368948978</v>
      </c>
      <c r="BQ13" s="55">
        <f>VLOOKUP($A13,[5]FY21!$W:$AF,9,FALSE)</f>
        <v>2.8696031399912783</v>
      </c>
      <c r="BR13" s="55">
        <f>VLOOKUP($A13,[5]FY21!$W:$AF,10,FALSE)</f>
        <v>7.4016572176188404</v>
      </c>
      <c r="BS13" s="31">
        <f>VLOOKUP($A13,[5]FY22!$W:$AF,7,FALSE)</f>
        <v>9.4364806866952762</v>
      </c>
      <c r="BT13" s="31">
        <f>VLOOKUP($A13,[5]FY22!$W:$AF,8,FALSE)</f>
        <v>1.4356223175965668</v>
      </c>
      <c r="BU13" s="31">
        <f>VLOOKUP($A13,[5]FY22!$W:$AF,9,FALSE)</f>
        <v>2.7111587982832623</v>
      </c>
      <c r="BV13" s="31">
        <f>VLOOKUP($A13,[5]FY22!$W:$AF,10,FALSE)</f>
        <v>7.1373390557939915</v>
      </c>
      <c r="BW13" s="55">
        <f>VLOOKUP($A13,[5]FY23!$W:$AF,7,FALSE)</f>
        <v>9.6241379310344826</v>
      </c>
      <c r="BX13" s="55">
        <f>VLOOKUP($A13,[5]FY23!$W:$AF,8,FALSE)</f>
        <v>1.4418103448275863</v>
      </c>
      <c r="BY13" s="55">
        <f>VLOOKUP($A13,[5]FY23!$W:$AF,9,FALSE)</f>
        <v>2.8905172413793103</v>
      </c>
      <c r="BZ13" s="55">
        <f>VLOOKUP($A13,[5]FY23!$W:$AF,10,FALSE)</f>
        <v>7.783620689655173</v>
      </c>
      <c r="CA13" s="37">
        <f>VLOOKUP($A13,[5]FY20!$W:$AF,3,FALSE)</f>
        <v>66262.886737352863</v>
      </c>
      <c r="CB13" s="37">
        <f>VLOOKUP($A13,[5]FY20!$W:$AF,4,FALSE)</f>
        <v>107398.686875</v>
      </c>
      <c r="CC13" s="37">
        <f>VLOOKUP($A13,[5]FY20!$W:$AF,5,FALSE)</f>
        <v>57288.804115359686</v>
      </c>
      <c r="CD13" s="37">
        <f>VLOOKUP($A13,[5]FY20!$W:$AF,6,FALSE)</f>
        <v>44014.369528900759</v>
      </c>
      <c r="CE13" s="52">
        <f>VLOOKUP($A13,[5]FY21!$W:$AF,3,FALSE)</f>
        <v>62692.738245462388</v>
      </c>
      <c r="CF13" s="52">
        <f>VLOOKUP($A13,[5]FY21!$W:$AF,4,FALSE)</f>
        <v>53462.005524861859</v>
      </c>
      <c r="CG13" s="52">
        <f>VLOOKUP($A13,[5]FY21!$W:$AF,5,FALSE)</f>
        <v>51726.175227963518</v>
      </c>
      <c r="CH13" s="52">
        <f>VLOOKUP($A13,[5]FY21!$W:$AF,6,FALSE)</f>
        <v>27286.988254183361</v>
      </c>
      <c r="CI13" s="37">
        <f>VLOOKUP($A13,[5]FY22!$W:$AF,3,FALSE)</f>
        <v>67878.446945922595</v>
      </c>
      <c r="CJ13" s="37">
        <f>VLOOKUP($A13,[5]FY22!$W:$AF,4,FALSE)</f>
        <v>57999.048131539617</v>
      </c>
      <c r="CK13" s="37">
        <f>VLOOKUP($A13,[5]FY22!$W:$AF,5,FALSE)</f>
        <v>55454.372803545964</v>
      </c>
      <c r="CL13" s="37">
        <f>VLOOKUP($A13,[5]FY22!$W:$AF,6,FALSE)</f>
        <v>31241.606855081165</v>
      </c>
      <c r="CM13" s="52">
        <f>VLOOKUP($A13,[5]FY23!$W:$AF,3,FALSE)</f>
        <v>69920.951137585085</v>
      </c>
      <c r="CN13" s="52">
        <f>VLOOKUP($A13,[5]FY23!$W:$AF,4,FALSE)</f>
        <v>65089.917488789237</v>
      </c>
      <c r="CO13" s="52">
        <f>VLOOKUP($A13,[5]FY23!$W:$AF,5,FALSE)</f>
        <v>58368.933492394863</v>
      </c>
      <c r="CP13" s="52">
        <f>VLOOKUP($A13,[5]FY23!$W:$AF,6,FALSE)</f>
        <v>31704.504596300812</v>
      </c>
      <c r="CQ13" s="5">
        <v>0.92100000000000004</v>
      </c>
      <c r="CR13" s="4">
        <v>0.97199999999999998</v>
      </c>
      <c r="CS13" s="4">
        <v>0.91200000000000003</v>
      </c>
      <c r="CT13" s="4">
        <v>0.92600000000000005</v>
      </c>
      <c r="CU13" s="4">
        <v>0.95199999999999996</v>
      </c>
      <c r="CV13" s="4">
        <v>0.94199999999999995</v>
      </c>
      <c r="CW13" s="4">
        <v>0.92300000000000004</v>
      </c>
      <c r="CX13" s="4">
        <v>0.94599999999999995</v>
      </c>
      <c r="CY13" t="s">
        <v>228</v>
      </c>
      <c r="CZ13" t="s">
        <v>228</v>
      </c>
      <c r="DA13" t="s">
        <v>248</v>
      </c>
      <c r="DB13">
        <v>0</v>
      </c>
      <c r="DC13">
        <v>5</v>
      </c>
      <c r="DD13">
        <v>3</v>
      </c>
      <c r="DE13">
        <v>0</v>
      </c>
      <c r="DF13">
        <v>0</v>
      </c>
      <c r="DG13">
        <v>0</v>
      </c>
      <c r="DH13">
        <v>5</v>
      </c>
      <c r="DI13">
        <v>3</v>
      </c>
      <c r="DJ13">
        <v>0</v>
      </c>
      <c r="DK13">
        <v>0</v>
      </c>
      <c r="DL13">
        <v>3</v>
      </c>
      <c r="DM13">
        <v>0</v>
      </c>
      <c r="DN13">
        <v>0</v>
      </c>
      <c r="DO13">
        <v>0</v>
      </c>
      <c r="DP13">
        <v>0</v>
      </c>
      <c r="DQ13" s="5">
        <v>0</v>
      </c>
      <c r="DR13" s="5">
        <v>0.625</v>
      </c>
      <c r="DS13" s="5">
        <v>0.375</v>
      </c>
      <c r="DT13" s="5">
        <v>0</v>
      </c>
      <c r="DU13" s="5">
        <v>0</v>
      </c>
      <c r="DV13" s="5">
        <v>0</v>
      </c>
      <c r="DW13" s="5">
        <v>0.625</v>
      </c>
      <c r="DX13" s="5">
        <v>0.375</v>
      </c>
      <c r="DY13" s="5">
        <v>0</v>
      </c>
      <c r="DZ13" s="5">
        <v>0</v>
      </c>
      <c r="EA13" s="5">
        <v>0.375</v>
      </c>
      <c r="EB13" s="5">
        <v>0</v>
      </c>
      <c r="EC13" s="5">
        <v>0</v>
      </c>
      <c r="ED13" s="5">
        <v>0</v>
      </c>
      <c r="EE13" s="5">
        <v>0</v>
      </c>
      <c r="EF13" s="36">
        <f>VLOOKUP($A13,'[6]Updated (2)'!$A$2:$Q$54,2,FALSE)</f>
        <v>0</v>
      </c>
      <c r="EG13" s="36">
        <f>VLOOKUP($A13,'[6]Updated (2)'!$A$2:$Q$54,3,FALSE)</f>
        <v>0</v>
      </c>
      <c r="EH13" s="36">
        <f>VLOOKUP($A13,'[6]Updated (2)'!$A$2:$Q$54,4,FALSE)</f>
        <v>0</v>
      </c>
      <c r="EI13" s="36">
        <f>VLOOKUP($A13,'[6]Updated (2)'!$A$2:$Q$54,5,FALSE)</f>
        <v>0</v>
      </c>
      <c r="EJ13" s="48">
        <f>VLOOKUP($A13,'[6]Updated (2)'!$A$2:$Q$54,6,FALSE)</f>
        <v>0</v>
      </c>
      <c r="EK13" s="48">
        <f>VLOOKUP($A13,'[6]Updated (2)'!$A$2:$Q$54,7,FALSE)</f>
        <v>0</v>
      </c>
      <c r="EL13" s="48">
        <f>VLOOKUP($A13,'[6]Updated (2)'!$A$2:$Q$54,8,FALSE)</f>
        <v>0</v>
      </c>
      <c r="EM13" s="48">
        <f>VLOOKUP($A13,'[6]Updated (2)'!$A$2:$Q$54,9,FALSE)</f>
        <v>0</v>
      </c>
      <c r="EN13" s="36">
        <f>VLOOKUP($A13,'[6]Updated (2)'!$A$2:$Q$54,10,FALSE)</f>
        <v>0</v>
      </c>
      <c r="EO13" s="36">
        <f>VLOOKUP($A13,'[6]Updated (2)'!$A$2:$Q$54,11,FALSE)</f>
        <v>0</v>
      </c>
      <c r="EP13" s="36">
        <f>VLOOKUP($A13,'[6]Updated (2)'!$A$2:$Q$54,12,FALSE)</f>
        <v>0</v>
      </c>
      <c r="EQ13" s="36">
        <f>VLOOKUP($A13,'[6]Updated (2)'!$A$2:$Q$54,13,FALSE)</f>
        <v>0</v>
      </c>
      <c r="ER13" s="48">
        <f>VLOOKUP($A13,'[6]Updated (2)'!$A$2:$Q$54,14,FALSE)</f>
        <v>0</v>
      </c>
      <c r="ES13" s="48">
        <f>VLOOKUP($A13,'[6]Updated (2)'!$A$2:$Q$54,15,FALSE)</f>
        <v>0</v>
      </c>
      <c r="ET13" s="48">
        <f>VLOOKUP($A13,'[6]Updated (2)'!$A$2:$Q$54,16,FALSE)</f>
        <v>0</v>
      </c>
      <c r="EU13" s="48">
        <f>VLOOKUP($A13,'[6]Updated (2)'!$A$2:$Q$54,17,FALSE)</f>
        <v>0</v>
      </c>
      <c r="EV13" s="37">
        <f>VLOOKUP($A13,[7]Totals!$A13:$F64,3,FALSE)-SUM(EF13:EI13)</f>
        <v>49903860.659999974</v>
      </c>
      <c r="EW13" s="37">
        <f>VLOOKUP($A13,[7]Totals!$A13:$F64,4,FALSE)-SUM(EJ13:EM13)</f>
        <v>50079733.350000113</v>
      </c>
      <c r="EX13" s="37">
        <f>VLOOKUP($A13,[7]Totals!$A13:$F64,5,FALSE)-SUM(EN13:EQ13)</f>
        <v>51563972.079999991</v>
      </c>
      <c r="EY13" s="37">
        <f>VLOOKUP($A13,[7]Totals!$A13:$F64,6,FALSE)-SUM(ER13:EU13)</f>
        <v>57254796.989999995</v>
      </c>
      <c r="EZ13" s="52">
        <f t="shared" si="2"/>
        <v>18908.205928154366</v>
      </c>
      <c r="FA13" s="52">
        <f t="shared" si="3"/>
        <v>18975.489868065124</v>
      </c>
      <c r="FB13" s="52">
        <f t="shared" si="4"/>
        <v>19623.831482482245</v>
      </c>
      <c r="FC13" s="52">
        <f t="shared" si="5"/>
        <v>21931.326031164768</v>
      </c>
      <c r="FD13" s="37">
        <f>VLOOKUP($A13,[8]Totals!$A$2:$F$54,3)-SUM(EF13:EI13)</f>
        <v>48377788.259999961</v>
      </c>
      <c r="FE13" s="37">
        <f>VLOOKUP($A13,[8]Totals!$A$2:$F$54,4)-SUM(EJ13:EM13)</f>
        <v>48380832.350000091</v>
      </c>
      <c r="FF13" s="37">
        <f>VLOOKUP($A13,[8]Totals!$A$2:$F$54,5)-SUM(EN13:EQ13)</f>
        <v>49553626.610000007</v>
      </c>
      <c r="FG13" s="37">
        <f>VLOOKUP($A13,[8]Totals!$A$2:$F$54,6)-SUM(ER13:EU13)</f>
        <v>54902745.429999985</v>
      </c>
      <c r="FH13" s="52">
        <f t="shared" si="6"/>
        <v>18329.988314950711</v>
      </c>
      <c r="FI13" s="52">
        <f t="shared" si="7"/>
        <v>18331.766817723721</v>
      </c>
      <c r="FJ13" s="52">
        <f t="shared" si="8"/>
        <v>18858.749214117721</v>
      </c>
      <c r="FK13" s="52">
        <f t="shared" si="9"/>
        <v>21030.377773266318</v>
      </c>
      <c r="FL13" s="37">
        <f>VLOOKUP($A13,[9]Totals!$A$3:$F$54,3)-SUM(EF13:EI13)</f>
        <v>46559923.189999945</v>
      </c>
      <c r="FM13" s="37">
        <f>VLOOKUP($A13,[9]Totals!$A$3:$F$54,4)-SUM(EJ13:EM13)</f>
        <v>45301139.019999981</v>
      </c>
      <c r="FN13" s="37">
        <f>VLOOKUP($A13,[9]Totals!$A$3:$F$54,5)-SUM(EN13:EQ13)</f>
        <v>47594600.910000026</v>
      </c>
      <c r="FO13" s="37">
        <f>VLOOKUP($A13,[9]Totals!$A$3:$F$54,6)-SUM(ER13:EU13)</f>
        <v>52198503.970000006</v>
      </c>
      <c r="FP13" s="52">
        <f t="shared" si="10"/>
        <v>17641.212604242821</v>
      </c>
      <c r="FQ13" s="52">
        <f t="shared" si="11"/>
        <v>17164.853863700082</v>
      </c>
      <c r="FR13" s="52">
        <f t="shared" si="12"/>
        <v>18113.197840631456</v>
      </c>
      <c r="FS13" s="52">
        <f t="shared" si="13"/>
        <v>19994.52393665921</v>
      </c>
      <c r="FT13" s="37">
        <f>VLOOKUP($A13,[10]Calculations!$AF$3:$AJ$54,2,FALSE)-EI13</f>
        <v>11639246.920000006</v>
      </c>
      <c r="FU13" s="37">
        <f>VLOOKUP($A13,[10]Calculations!$AF$3:$AJ$54,3,FALSE)-EM13</f>
        <v>11277215.48</v>
      </c>
      <c r="FV13" s="37">
        <f>VLOOKUP($A13,[10]Calculations!$AF$3:$AJ$54,4,FALSE)-EQ13</f>
        <v>10975566.569999997</v>
      </c>
      <c r="FW13" s="37">
        <f>VLOOKUP($A13,[10]Calculations!$AF$3:$AJ$54,5,FALSE)-EU13</f>
        <v>11265925.473968251</v>
      </c>
      <c r="FX13" s="52">
        <f t="shared" si="14"/>
        <v>29318.002317380367</v>
      </c>
      <c r="FY13" s="52">
        <f t="shared" si="15"/>
        <v>29291.468779220781</v>
      </c>
      <c r="FZ13" s="52">
        <f t="shared" si="16"/>
        <v>29035.890396825387</v>
      </c>
      <c r="GA13" s="52">
        <f t="shared" si="17"/>
        <v>29035.890396825387</v>
      </c>
    </row>
    <row r="14" spans="1:183" ht="15.75" x14ac:dyDescent="0.25">
      <c r="A14" s="66" t="s">
        <v>249</v>
      </c>
      <c r="B14" s="66" t="s">
        <v>250</v>
      </c>
      <c r="C14" s="67">
        <v>4</v>
      </c>
      <c r="D14" s="68" t="s">
        <v>221</v>
      </c>
      <c r="E14">
        <v>5</v>
      </c>
      <c r="F14" s="27">
        <v>4436</v>
      </c>
      <c r="G14" s="27">
        <v>4369</v>
      </c>
      <c r="H14" s="27">
        <v>4374</v>
      </c>
      <c r="I14" s="27">
        <v>4216</v>
      </c>
      <c r="J14" s="23">
        <v>501</v>
      </c>
      <c r="K14" s="23">
        <v>468</v>
      </c>
      <c r="L14" s="23">
        <v>437</v>
      </c>
      <c r="M14" s="23">
        <v>413</v>
      </c>
      <c r="N14" s="27">
        <v>3935</v>
      </c>
      <c r="O14" s="27">
        <v>3901</v>
      </c>
      <c r="P14" s="27">
        <v>3937</v>
      </c>
      <c r="Q14" s="27">
        <v>3803</v>
      </c>
      <c r="R14" s="25">
        <f>VLOOKUP($A14,'ADM, LTADM'!$B:$L,2,FALSE)</f>
        <v>4271.68</v>
      </c>
      <c r="S14" s="25">
        <f>VLOOKUP($A14,'ADM, LTADM'!$B:$L,3,FALSE)</f>
        <v>4271.7</v>
      </c>
      <c r="T14" s="25">
        <f>VLOOKUP($A14,'ADM, LTADM'!$B:$L,4,FALSE)</f>
        <v>4149.8899999999994</v>
      </c>
      <c r="U14" s="25">
        <f>VLOOKUP($A14,'ADM, LTADM'!$B:$L,5,FALSE)</f>
        <v>4166.4399999999996</v>
      </c>
      <c r="V14" s="29">
        <f>VLOOKUP($A14,'ADM, LTADM'!$B:$L,7,FALSE)</f>
        <v>4283.7800000000007</v>
      </c>
      <c r="W14" s="29">
        <f>VLOOKUP($A14,'ADM, LTADM'!$B:$L,8,FALSE)</f>
        <v>4281.2699999999995</v>
      </c>
      <c r="X14" s="29">
        <f>VLOOKUP($A14,'ADM, LTADM'!$B:$L,9,FALSE)</f>
        <v>4217.9600000000009</v>
      </c>
      <c r="Y14" s="29">
        <f>VLOOKUP($A14,'ADM, LTADM'!$B:$L,10,FALSE)</f>
        <v>4162.5</v>
      </c>
      <c r="Z14" s="10">
        <v>4145.7</v>
      </c>
      <c r="AA14" s="10">
        <v>4176.43</v>
      </c>
      <c r="AB14" s="10">
        <v>4167.21</v>
      </c>
      <c r="AC14" s="10">
        <v>4099.43</v>
      </c>
      <c r="AD14" s="2">
        <v>0.13085078872510991</v>
      </c>
      <c r="AE14" s="2">
        <v>0.14540612516644474</v>
      </c>
      <c r="AF14" s="2">
        <v>0.15248041775456919</v>
      </c>
      <c r="AG14" s="2">
        <v>0.14894723160904602</v>
      </c>
      <c r="AH14" s="2">
        <f t="shared" si="0"/>
        <v>0.14291244388204127</v>
      </c>
      <c r="AI14" s="46">
        <f>VLOOKUP(A14,'[1]SU_SD IDEA 3-21'!$A:$B,2,FALSE)</f>
        <v>524</v>
      </c>
      <c r="AJ14" s="46">
        <f>VLOOKUP(A14,'[2]SU_SD IDEA 3-21'!$A:$B,2,FALSE)</f>
        <v>535</v>
      </c>
      <c r="AK14" s="46">
        <f>VLOOKUP(A14,'[3]SU_SD IDEA 3-21'!$A:$B,2,FALSE)</f>
        <v>552</v>
      </c>
      <c r="AL14" s="46">
        <f>VLOOKUP($A14,'[4]SU_SD IDEA 3-21'!$A:$B,2,FALSE)</f>
        <v>540</v>
      </c>
      <c r="AM14" s="22">
        <f t="shared" si="18"/>
        <v>0.12266836467151096</v>
      </c>
      <c r="AN14" s="22">
        <f t="shared" si="19"/>
        <v>0.12524287754289862</v>
      </c>
      <c r="AO14" s="22">
        <f t="shared" si="20"/>
        <v>0.13301557390677826</v>
      </c>
      <c r="AP14" s="22">
        <f t="shared" si="21"/>
        <v>0.12960705062355393</v>
      </c>
      <c r="AQ14" s="26">
        <v>2.560124127230411E-2</v>
      </c>
      <c r="AR14" s="26">
        <v>2.2103861517976033E-2</v>
      </c>
      <c r="AS14" s="26">
        <v>2.0887728459530026E-2</v>
      </c>
      <c r="AT14" s="26">
        <v>2.547439563296075E-2</v>
      </c>
      <c r="AU14" s="2">
        <v>0.62544589774078474</v>
      </c>
      <c r="AV14" s="2">
        <v>0.71603563474387533</v>
      </c>
      <c r="AW14" s="2">
        <v>0.7992565055762082</v>
      </c>
      <c r="AX14" s="2">
        <v>0.68924302788844627</v>
      </c>
      <c r="AY14" s="2">
        <v>0.58641239570917758</v>
      </c>
      <c r="AZ14" s="2">
        <v>0.55271920088790238</v>
      </c>
      <c r="BA14" s="2">
        <v>0.44150943396226416</v>
      </c>
      <c r="BB14" s="2">
        <v>0.55211970074812966</v>
      </c>
      <c r="BC14" s="2">
        <v>0.73792270531400961</v>
      </c>
      <c r="BD14" s="2">
        <v>0.73575757575757572</v>
      </c>
      <c r="BE14" s="2">
        <v>0.61952861952861948</v>
      </c>
      <c r="BF14" s="8"/>
      <c r="BG14" s="2" t="s">
        <v>222</v>
      </c>
      <c r="BH14" s="2" t="s">
        <v>222</v>
      </c>
      <c r="BI14" s="2" t="s">
        <v>222</v>
      </c>
      <c r="BJ14" s="8"/>
      <c r="BK14" s="31">
        <f>VLOOKUP($A14,[5]FY20!$W:$AF,7,FALSE)</f>
        <v>8.8216010165184233</v>
      </c>
      <c r="BL14" s="31">
        <f>VLOOKUP($A14,[5]FY20!$W:$AF,8,FALSE)</f>
        <v>0.66327827191867861</v>
      </c>
      <c r="BM14" s="31">
        <f>VLOOKUP($A14,[5]FY20!$W:$AF,9,FALSE)</f>
        <v>2.7613722998729355</v>
      </c>
      <c r="BN14" s="31">
        <f>VLOOKUP($A14,[5]FY20!$W:$AF,10,FALSE)</f>
        <v>3.806099110546378</v>
      </c>
      <c r="BO14" s="55">
        <f>VLOOKUP($A14,[5]FY21!$W:$AF,7,FALSE)</f>
        <v>10.002819789797487</v>
      </c>
      <c r="BP14" s="55">
        <f>VLOOKUP($A14,[5]FY21!$W:$AF,8,FALSE)</f>
        <v>1.6334273263265828</v>
      </c>
      <c r="BQ14" s="55">
        <f>VLOOKUP($A14,[5]FY21!$W:$AF,9,FALSE)</f>
        <v>2.1445783132530116</v>
      </c>
      <c r="BR14" s="55">
        <f>VLOOKUP($A14,[5]FY21!$W:$AF,10,FALSE)</f>
        <v>4.5785695975390919</v>
      </c>
      <c r="BS14" s="31">
        <f>VLOOKUP($A14,[5]FY22!$W:$AF,7,FALSE)</f>
        <v>9.9377698755397503</v>
      </c>
      <c r="BT14" s="31">
        <f>VLOOKUP($A14,[5]FY22!$W:$AF,8,FALSE)</f>
        <v>1.2501905003810008</v>
      </c>
      <c r="BU14" s="31">
        <f>VLOOKUP($A14,[5]FY22!$W:$AF,9,FALSE)</f>
        <v>2.127762255524511</v>
      </c>
      <c r="BV14" s="31">
        <f>VLOOKUP($A14,[5]FY22!$W:$AF,10,FALSE)</f>
        <v>4.8290576581153166</v>
      </c>
      <c r="BW14" s="55">
        <f>VLOOKUP($A14,[5]FY23!$W:$AF,7,FALSE)</f>
        <v>10.408361819616093</v>
      </c>
      <c r="BX14" s="55">
        <f>VLOOKUP($A14,[5]FY23!$W:$AF,8,FALSE)</f>
        <v>1.3652379700236656</v>
      </c>
      <c r="BY14" s="55">
        <f>VLOOKUP($A14,[5]FY23!$W:$AF,9,FALSE)</f>
        <v>2.2008940310281355</v>
      </c>
      <c r="BZ14" s="55">
        <f>VLOOKUP($A14,[5]FY23!$W:$AF,10,FALSE)</f>
        <v>5.2319221667104916</v>
      </c>
      <c r="CA14" s="37">
        <f>VLOOKUP($A14,[5]FY20!$W:$AF,3,FALSE)</f>
        <v>77299.274047186947</v>
      </c>
      <c r="CB14" s="37">
        <f>VLOOKUP($A14,[5]FY20!$W:$AF,4,FALSE)</f>
        <v>111239.50191570881</v>
      </c>
      <c r="CC14" s="37">
        <f>VLOOKUP($A14,[5]FY20!$W:$AF,5,FALSE)</f>
        <v>54890.576108963738</v>
      </c>
      <c r="CD14" s="37">
        <f>VLOOKUP($A14,[5]FY20!$W:$AF,6,FALSE)</f>
        <v>45386.786405822269</v>
      </c>
      <c r="CE14" s="52">
        <f>VLOOKUP($A14,[5]FY21!$W:$AF,3,FALSE)</f>
        <v>75724.398631506134</v>
      </c>
      <c r="CF14" s="52">
        <f>VLOOKUP($A14,[5]FY21!$W:$AF,4,FALSE)</f>
        <v>52213.400659133709</v>
      </c>
      <c r="CG14" s="52">
        <f>VLOOKUP($A14,[5]FY21!$W:$AF,5,FALSE)</f>
        <v>53142.505857040407</v>
      </c>
      <c r="CH14" s="52">
        <f>VLOOKUP($A14,[5]FY21!$W:$AF,6,FALSE)</f>
        <v>43599.236492917524</v>
      </c>
      <c r="CI14" s="37">
        <f>VLOOKUP($A14,[5]FY22!$W:$AF,3,FALSE)</f>
        <v>77472.486875399351</v>
      </c>
      <c r="CJ14" s="37">
        <f>VLOOKUP($A14,[5]FY22!$W:$AF,4,FALSE)</f>
        <v>63964.993904916701</v>
      </c>
      <c r="CK14" s="37">
        <f>VLOOKUP($A14,[5]FY22!$W:$AF,5,FALSE)</f>
        <v>55778.70777127851</v>
      </c>
      <c r="CL14" s="37">
        <f>VLOOKUP($A14,[5]FY22!$W:$AF,6,FALSE)</f>
        <v>43839.525825794241</v>
      </c>
      <c r="CM14" s="52">
        <f>VLOOKUP($A14,[5]FY23!$W:$AF,3,FALSE)</f>
        <v>77786.760048505661</v>
      </c>
      <c r="CN14" s="52">
        <f>VLOOKUP($A14,[5]FY23!$W:$AF,4,FALSE)</f>
        <v>72484.513482280425</v>
      </c>
      <c r="CO14" s="52">
        <f>VLOOKUP($A14,[5]FY23!$W:$AF,5,FALSE)</f>
        <v>59155.030107526887</v>
      </c>
      <c r="CP14" s="52">
        <f>VLOOKUP($A14,[5]FY23!$W:$AF,6,FALSE)</f>
        <v>45931.071267025189</v>
      </c>
      <c r="CQ14" s="5">
        <v>0.96</v>
      </c>
      <c r="CR14" s="4">
        <v>0.96</v>
      </c>
      <c r="CS14" s="4">
        <v>0.94499999999999995</v>
      </c>
      <c r="CT14" s="4">
        <v>0.96399999999999997</v>
      </c>
      <c r="CU14" s="4">
        <v>0.90900000000000003</v>
      </c>
      <c r="CV14" s="4">
        <v>0.97799999999999998</v>
      </c>
      <c r="CW14" s="4">
        <v>0.93899999999999995</v>
      </c>
      <c r="CX14" s="4">
        <v>0.96199999999999997</v>
      </c>
      <c r="CY14" t="s">
        <v>228</v>
      </c>
      <c r="CZ14" t="s">
        <v>228</v>
      </c>
      <c r="DA14" t="s">
        <v>248</v>
      </c>
      <c r="DB14">
        <v>0</v>
      </c>
      <c r="DC14">
        <v>5</v>
      </c>
      <c r="DD14">
        <v>0</v>
      </c>
      <c r="DE14">
        <v>0</v>
      </c>
      <c r="DF14">
        <v>0</v>
      </c>
      <c r="DG14">
        <v>0</v>
      </c>
      <c r="DH14">
        <v>4</v>
      </c>
      <c r="DI14">
        <v>1</v>
      </c>
      <c r="DJ14">
        <v>0</v>
      </c>
      <c r="DK14">
        <v>0</v>
      </c>
      <c r="DL14">
        <v>3</v>
      </c>
      <c r="DM14">
        <v>2</v>
      </c>
      <c r="DN14">
        <v>0</v>
      </c>
      <c r="DO14">
        <v>0</v>
      </c>
      <c r="DP14">
        <v>0</v>
      </c>
      <c r="DQ14" s="5">
        <v>0</v>
      </c>
      <c r="DR14" s="5">
        <v>1</v>
      </c>
      <c r="DS14" s="5">
        <v>0</v>
      </c>
      <c r="DT14" s="5">
        <v>0</v>
      </c>
      <c r="DU14" s="5">
        <v>0</v>
      </c>
      <c r="DV14" s="5">
        <v>0</v>
      </c>
      <c r="DW14" s="5">
        <v>0.8</v>
      </c>
      <c r="DX14" s="5">
        <v>0.2</v>
      </c>
      <c r="DY14" s="5">
        <v>0</v>
      </c>
      <c r="DZ14" s="5">
        <v>0</v>
      </c>
      <c r="EA14" s="5">
        <v>0.6</v>
      </c>
      <c r="EB14" s="5">
        <v>0.4</v>
      </c>
      <c r="EC14" s="5">
        <v>0</v>
      </c>
      <c r="ED14" s="5">
        <v>0</v>
      </c>
      <c r="EE14" s="5">
        <v>0</v>
      </c>
      <c r="EF14" s="36">
        <f>VLOOKUP($A14,'[6]Updated (2)'!$A$2:$Q$54,2,FALSE)</f>
        <v>0</v>
      </c>
      <c r="EG14" s="36">
        <f>VLOOKUP($A14,'[6]Updated (2)'!$A$2:$Q$54,3,FALSE)</f>
        <v>0</v>
      </c>
      <c r="EH14" s="36">
        <f>VLOOKUP($A14,'[6]Updated (2)'!$A$2:$Q$54,4,FALSE)</f>
        <v>0</v>
      </c>
      <c r="EI14" s="36">
        <f>VLOOKUP($A14,'[6]Updated (2)'!$A$2:$Q$54,5,FALSE)</f>
        <v>0</v>
      </c>
      <c r="EJ14" s="48">
        <f>VLOOKUP($A14,'[6]Updated (2)'!$A$2:$Q$54,6,FALSE)</f>
        <v>0</v>
      </c>
      <c r="EK14" s="48">
        <f>VLOOKUP($A14,'[6]Updated (2)'!$A$2:$Q$54,7,FALSE)</f>
        <v>0</v>
      </c>
      <c r="EL14" s="48">
        <f>VLOOKUP($A14,'[6]Updated (2)'!$A$2:$Q$54,8,FALSE)</f>
        <v>0</v>
      </c>
      <c r="EM14" s="48">
        <f>VLOOKUP($A14,'[6]Updated (2)'!$A$2:$Q$54,9,FALSE)</f>
        <v>0</v>
      </c>
      <c r="EN14" s="36">
        <f>VLOOKUP($A14,'[6]Updated (2)'!$A$2:$Q$54,10,FALSE)</f>
        <v>0</v>
      </c>
      <c r="EO14" s="36">
        <f>VLOOKUP($A14,'[6]Updated (2)'!$A$2:$Q$54,11,FALSE)</f>
        <v>0</v>
      </c>
      <c r="EP14" s="36">
        <f>VLOOKUP($A14,'[6]Updated (2)'!$A$2:$Q$54,12,FALSE)</f>
        <v>0</v>
      </c>
      <c r="EQ14" s="36">
        <f>VLOOKUP($A14,'[6]Updated (2)'!$A$2:$Q$54,13,FALSE)</f>
        <v>0</v>
      </c>
      <c r="ER14" s="48">
        <f>VLOOKUP($A14,'[6]Updated (2)'!$A$2:$Q$54,14,FALSE)</f>
        <v>0</v>
      </c>
      <c r="ES14" s="48">
        <f>VLOOKUP($A14,'[6]Updated (2)'!$A$2:$Q$54,15,FALSE)</f>
        <v>0</v>
      </c>
      <c r="ET14" s="48">
        <f>VLOOKUP($A14,'[6]Updated (2)'!$A$2:$Q$54,16,FALSE)</f>
        <v>0</v>
      </c>
      <c r="EU14" s="48">
        <f>VLOOKUP($A14,'[6]Updated (2)'!$A$2:$Q$54,17,FALSE)</f>
        <v>0</v>
      </c>
      <c r="EV14" s="37">
        <f>VLOOKUP($A14,[7]Totals!$A14:$F65,3,FALSE)-SUM(EF14:EI14)</f>
        <v>84719909.35999991</v>
      </c>
      <c r="EW14" s="37">
        <f>VLOOKUP($A14,[7]Totals!$A14:$F65,4,FALSE)-SUM(EJ14:EM14)</f>
        <v>90865549.490000084</v>
      </c>
      <c r="EX14" s="37">
        <f>VLOOKUP($A14,[7]Totals!$A14:$F65,5,FALSE)-SUM(EN14:EQ14)</f>
        <v>98186699.060000181</v>
      </c>
      <c r="EY14" s="37">
        <f>VLOOKUP($A14,[7]Totals!$A14:$F65,6,FALSE)-SUM(ER14:EU14)</f>
        <v>102996548.13</v>
      </c>
      <c r="EZ14" s="52">
        <f t="shared" si="2"/>
        <v>19776.904827045248</v>
      </c>
      <c r="FA14" s="52">
        <f t="shared" si="3"/>
        <v>21223.97080539188</v>
      </c>
      <c r="FB14" s="52">
        <f t="shared" si="4"/>
        <v>23278.243288224676</v>
      </c>
      <c r="FC14" s="52">
        <f t="shared" si="5"/>
        <v>24743.915466666665</v>
      </c>
      <c r="FD14" s="37">
        <f>VLOOKUP($A14,[8]Totals!$A$2:$F$54,3)-SUM(EF14:EI14)</f>
        <v>81124749.319999903</v>
      </c>
      <c r="FE14" s="37">
        <f>VLOOKUP($A14,[8]Totals!$A$2:$F$54,4)-SUM(EJ14:EM14)</f>
        <v>84545334.030000165</v>
      </c>
      <c r="FF14" s="37">
        <f>VLOOKUP($A14,[8]Totals!$A$2:$F$54,5)-SUM(EN14:EQ14)</f>
        <v>88962088.930000022</v>
      </c>
      <c r="FG14" s="37">
        <f>VLOOKUP($A14,[8]Totals!$A$2:$F$54,6)-SUM(ER14:EU14)</f>
        <v>91984550.609999985</v>
      </c>
      <c r="FH14" s="52">
        <f t="shared" si="6"/>
        <v>18937.655369790205</v>
      </c>
      <c r="FI14" s="52">
        <f t="shared" si="7"/>
        <v>19747.72299574663</v>
      </c>
      <c r="FJ14" s="52">
        <f t="shared" si="8"/>
        <v>21091.259502223824</v>
      </c>
      <c r="FK14" s="52">
        <f t="shared" si="9"/>
        <v>22098.390536936935</v>
      </c>
      <c r="FL14" s="37">
        <f>VLOOKUP($A14,[9]Totals!$A$3:$F$54,3)-SUM(EF14:EI14)</f>
        <v>76758320.310000002</v>
      </c>
      <c r="FM14" s="37">
        <f>VLOOKUP($A14,[9]Totals!$A$3:$F$54,4)-SUM(EJ14:EM14)</f>
        <v>77437669.130000085</v>
      </c>
      <c r="FN14" s="37">
        <f>VLOOKUP($A14,[9]Totals!$A$3:$F$54,5)-SUM(EN14:EQ14)</f>
        <v>83601809.069999918</v>
      </c>
      <c r="FO14" s="37">
        <f>VLOOKUP($A14,[9]Totals!$A$3:$F$54,6)-SUM(ER14:EU14)</f>
        <v>86473845.150000006</v>
      </c>
      <c r="FP14" s="52">
        <f t="shared" si="10"/>
        <v>17918.361893001038</v>
      </c>
      <c r="FQ14" s="52">
        <f t="shared" si="11"/>
        <v>18087.546249127034</v>
      </c>
      <c r="FR14" s="52">
        <f t="shared" si="12"/>
        <v>19820.436673178479</v>
      </c>
      <c r="FS14" s="52">
        <f t="shared" si="13"/>
        <v>20774.497333333336</v>
      </c>
      <c r="FT14" s="37">
        <f>VLOOKUP($A14,[10]Calculations!$AF$3:$AJ$54,2,FALSE)-EI14</f>
        <v>17077002.000000004</v>
      </c>
      <c r="FU14" s="37">
        <f>VLOOKUP($A14,[10]Calculations!$AF$3:$AJ$54,3,FALSE)-EM14</f>
        <v>17079339.960000001</v>
      </c>
      <c r="FV14" s="37">
        <f>VLOOKUP($A14,[10]Calculations!$AF$3:$AJ$54,4,FALSE)-EQ14</f>
        <v>18679883.629999999</v>
      </c>
      <c r="FW14" s="37">
        <f>VLOOKUP($A14,[10]Calculations!$AF$3:$AJ$54,5,FALSE)-EU14</f>
        <v>18273799.203260865</v>
      </c>
      <c r="FX14" s="52">
        <f t="shared" si="14"/>
        <v>32589.698473282449</v>
      </c>
      <c r="FY14" s="52">
        <f t="shared" si="15"/>
        <v>31923.999925233646</v>
      </c>
      <c r="FZ14" s="52">
        <f t="shared" si="16"/>
        <v>33840.368894927531</v>
      </c>
      <c r="GA14" s="52">
        <f t="shared" si="17"/>
        <v>33840.368894927531</v>
      </c>
    </row>
    <row r="15" spans="1:183" ht="15.75" x14ac:dyDescent="0.25">
      <c r="A15" s="66" t="s">
        <v>251</v>
      </c>
      <c r="B15" s="66" t="s">
        <v>252</v>
      </c>
      <c r="C15" s="67">
        <v>4</v>
      </c>
      <c r="D15" s="68" t="s">
        <v>221</v>
      </c>
      <c r="E15">
        <v>9</v>
      </c>
      <c r="F15" s="27">
        <v>3838</v>
      </c>
      <c r="G15" s="27">
        <v>3502</v>
      </c>
      <c r="H15" s="27">
        <v>3460</v>
      </c>
      <c r="I15" s="27">
        <v>3474</v>
      </c>
      <c r="J15" s="23">
        <v>491</v>
      </c>
      <c r="K15" s="23">
        <v>367</v>
      </c>
      <c r="L15" s="23">
        <v>380</v>
      </c>
      <c r="M15" s="23">
        <v>386</v>
      </c>
      <c r="N15" s="27">
        <v>3317</v>
      </c>
      <c r="O15" s="27">
        <v>3135</v>
      </c>
      <c r="P15" s="27">
        <v>3080</v>
      </c>
      <c r="Q15" s="27">
        <v>3088</v>
      </c>
      <c r="R15" s="25">
        <f>VLOOKUP($A15,'ADM, LTADM'!$B:$L,2,FALSE)</f>
        <v>3823.46</v>
      </c>
      <c r="S15" s="25">
        <f>VLOOKUP($A15,'ADM, LTADM'!$B:$L,3,FALSE)</f>
        <v>3824.11</v>
      </c>
      <c r="T15" s="25">
        <f>VLOOKUP($A15,'ADM, LTADM'!$B:$L,4,FALSE)</f>
        <v>3495.7799999999988</v>
      </c>
      <c r="U15" s="25">
        <f>VLOOKUP($A15,'ADM, LTADM'!$B:$L,5,FALSE)</f>
        <v>3404.84</v>
      </c>
      <c r="V15" s="29">
        <f>VLOOKUP($A15,'ADM, LTADM'!$B:$L,7,FALSE)</f>
        <v>3837.86</v>
      </c>
      <c r="W15" s="29">
        <f>VLOOKUP($A15,'ADM, LTADM'!$B:$L,8,FALSE)</f>
        <v>3828.15</v>
      </c>
      <c r="X15" s="29">
        <f>VLOOKUP($A15,'ADM, LTADM'!$B:$L,9,FALSE)</f>
        <v>3663.11</v>
      </c>
      <c r="Y15" s="29">
        <f>VLOOKUP($A15,'ADM, LTADM'!$B:$L,10,FALSE)</f>
        <v>3454.06</v>
      </c>
      <c r="Z15" s="10">
        <v>4082.65</v>
      </c>
      <c r="AA15" s="10">
        <v>4031.59</v>
      </c>
      <c r="AB15" s="10">
        <v>3971.92</v>
      </c>
      <c r="AC15" s="10">
        <v>3837.18</v>
      </c>
      <c r="AD15" s="2">
        <v>0.48768472906403942</v>
      </c>
      <c r="AE15" s="2">
        <v>0.49688473520249221</v>
      </c>
      <c r="AF15" s="2">
        <v>0.49744408945686902</v>
      </c>
      <c r="AG15" s="2">
        <v>0.49191246431969554</v>
      </c>
      <c r="AH15" s="2">
        <f t="shared" si="0"/>
        <v>0.49400451790780026</v>
      </c>
      <c r="AI15" s="46">
        <f>VLOOKUP(A15,'[1]SU_SD IDEA 3-21'!$A:$B,2,FALSE)</f>
        <v>692</v>
      </c>
      <c r="AJ15" s="46">
        <f>VLOOKUP(A15,'[2]SU_SD IDEA 3-21'!$A:$B,2,FALSE)</f>
        <v>707</v>
      </c>
      <c r="AK15" s="46">
        <f>VLOOKUP(A15,'[3]SU_SD IDEA 3-21'!$A:$B,2,FALSE)</f>
        <v>608</v>
      </c>
      <c r="AL15" s="46">
        <f>VLOOKUP($A15,'[4]SU_SD IDEA 3-21'!$A:$B,2,FALSE)</f>
        <v>577</v>
      </c>
      <c r="AM15" s="22">
        <f t="shared" si="18"/>
        <v>0.18098790101112605</v>
      </c>
      <c r="AN15" s="22">
        <f t="shared" si="19"/>
        <v>0.18487961904861522</v>
      </c>
      <c r="AO15" s="22">
        <f t="shared" si="20"/>
        <v>0.17392398835166978</v>
      </c>
      <c r="AP15" s="22">
        <f t="shared" si="21"/>
        <v>0.16946464444731615</v>
      </c>
      <c r="AQ15" s="26">
        <v>0.15502752825268037</v>
      </c>
      <c r="AR15" s="26">
        <v>0.16261682242990655</v>
      </c>
      <c r="AS15" s="26">
        <v>0.16006389776357827</v>
      </c>
      <c r="AT15" s="26">
        <v>0.16777672058357121</v>
      </c>
      <c r="AU15" s="2">
        <v>0.48258064516129034</v>
      </c>
      <c r="AV15" s="2">
        <v>0.4987012987012987</v>
      </c>
      <c r="AW15" s="2">
        <v>0.5605381165919282</v>
      </c>
      <c r="AX15" s="2">
        <v>0.4994343891402715</v>
      </c>
      <c r="AY15" s="2">
        <v>0.41656050955414015</v>
      </c>
      <c r="AZ15" s="2">
        <v>0.41634241245136189</v>
      </c>
      <c r="BA15" s="2">
        <v>0.37719298245614036</v>
      </c>
      <c r="BB15" s="2">
        <v>0.41143497757847536</v>
      </c>
      <c r="BC15" s="2" t="s">
        <v>222</v>
      </c>
      <c r="BD15" s="2">
        <v>0.65137614678899081</v>
      </c>
      <c r="BE15" s="2">
        <v>0.48068669527896996</v>
      </c>
      <c r="BF15" s="8">
        <v>0.56000000000000005</v>
      </c>
      <c r="BG15" s="2" t="s">
        <v>222</v>
      </c>
      <c r="BH15" s="2" t="s">
        <v>222</v>
      </c>
      <c r="BI15" s="2">
        <v>0.47639484978540775</v>
      </c>
      <c r="BJ15" s="8">
        <v>0.48</v>
      </c>
      <c r="BK15" s="31">
        <f>VLOOKUP($A15,[5]FY20!$W:$AF,7,FALSE)</f>
        <v>8.9444278458320881</v>
      </c>
      <c r="BL15" s="31">
        <f>VLOOKUP($A15,[5]FY20!$W:$AF,8,FALSE)</f>
        <v>0.95996414699731114</v>
      </c>
      <c r="BM15" s="31">
        <f>VLOOKUP($A15,[5]FY20!$W:$AF,9,FALSE)</f>
        <v>2.4768449357633697</v>
      </c>
      <c r="BN15" s="31">
        <f>VLOOKUP($A15,[5]FY20!$W:$AF,10,FALSE)</f>
        <v>4.8413504631012838</v>
      </c>
      <c r="BO15" s="55">
        <f>VLOOKUP($A15,[5]FY21!$W:$AF,7,FALSE)</f>
        <v>9.7505582137161078</v>
      </c>
      <c r="BP15" s="55">
        <f>VLOOKUP($A15,[5]FY21!$W:$AF,8,FALSE)</f>
        <v>0.97288676236044658</v>
      </c>
      <c r="BQ15" s="55">
        <f>VLOOKUP($A15,[5]FY21!$W:$AF,9,FALSE)</f>
        <v>2.7591706539074958</v>
      </c>
      <c r="BR15" s="55">
        <f>VLOOKUP($A15,[5]FY21!$W:$AF,10,FALSE)</f>
        <v>6.1298245614035078</v>
      </c>
      <c r="BS15" s="31">
        <f>VLOOKUP($A15,[5]FY22!$W:$AF,7,FALSE)</f>
        <v>9.9629870129870142</v>
      </c>
      <c r="BT15" s="31">
        <f>VLOOKUP($A15,[5]FY22!$W:$AF,8,FALSE)</f>
        <v>1.0064935064935066</v>
      </c>
      <c r="BU15" s="31">
        <f>VLOOKUP($A15,[5]FY22!$W:$AF,9,FALSE)</f>
        <v>2.9675324675324672</v>
      </c>
      <c r="BV15" s="31">
        <f>VLOOKUP($A15,[5]FY22!$W:$AF,10,FALSE)</f>
        <v>6.3714285714285719</v>
      </c>
      <c r="BW15" s="55">
        <f>VLOOKUP($A15,[5]FY23!$W:$AF,7,FALSE)</f>
        <v>10.001943005181348</v>
      </c>
      <c r="BX15" s="55">
        <f>VLOOKUP($A15,[5]FY23!$W:$AF,8,FALSE)</f>
        <v>0.93911917098445596</v>
      </c>
      <c r="BY15" s="55">
        <f>VLOOKUP($A15,[5]FY23!$W:$AF,9,FALSE)</f>
        <v>2.7227979274611398</v>
      </c>
      <c r="BZ15" s="55">
        <f>VLOOKUP($A15,[5]FY23!$W:$AF,10,FALSE)</f>
        <v>6.596502590673575</v>
      </c>
      <c r="CA15" s="37">
        <f>VLOOKUP($A15,[5]FY20!$W:$AF,3,FALSE)</f>
        <v>74312.064001068909</v>
      </c>
      <c r="CB15" s="37">
        <f>VLOOKUP($A15,[5]FY20!$W:$AF,4,FALSE)</f>
        <v>94554.539682539675</v>
      </c>
      <c r="CC15" s="37">
        <f>VLOOKUP($A15,[5]FY20!$W:$AF,5,FALSE)</f>
        <v>58430.182870928824</v>
      </c>
      <c r="CD15" s="37">
        <f>VLOOKUP($A15,[5]FY20!$W:$AF,6,FALSE)</f>
        <v>45998.809553196763</v>
      </c>
      <c r="CE15" s="52">
        <f>VLOOKUP($A15,[5]FY21!$W:$AF,3,FALSE)</f>
        <v>76307.653330280009</v>
      </c>
      <c r="CF15" s="52">
        <f>VLOOKUP($A15,[5]FY21!$W:$AF,4,FALSE)</f>
        <v>94668.397377049187</v>
      </c>
      <c r="CG15" s="52">
        <f>VLOOKUP($A15,[5]FY21!$W:$AF,5,FALSE)</f>
        <v>60150.687861271676</v>
      </c>
      <c r="CH15" s="52">
        <f>VLOOKUP($A15,[5]FY21!$W:$AF,6,FALSE)</f>
        <v>38777.843784409648</v>
      </c>
      <c r="CI15" s="37">
        <f>VLOOKUP($A15,[5]FY22!$W:$AF,3,FALSE)</f>
        <v>77150.068500293273</v>
      </c>
      <c r="CJ15" s="37">
        <f>VLOOKUP($A15,[5]FY22!$W:$AF,4,FALSE)</f>
        <v>103842.98999999998</v>
      </c>
      <c r="CK15" s="37">
        <f>VLOOKUP($A15,[5]FY22!$W:$AF,5,FALSE)</f>
        <v>60976.148468271327</v>
      </c>
      <c r="CL15" s="37">
        <f>VLOOKUP($A15,[5]FY22!$W:$AF,6,FALSE)</f>
        <v>41816.170505758244</v>
      </c>
      <c r="CM15" s="52">
        <f>VLOOKUP($A15,[5]FY23!$W:$AF,3,FALSE)</f>
        <v>76648.616428155146</v>
      </c>
      <c r="CN15" s="52">
        <f>VLOOKUP($A15,[5]FY23!$W:$AF,4,FALSE)</f>
        <v>109847.99655172412</v>
      </c>
      <c r="CO15" s="52">
        <f>VLOOKUP($A15,[5]FY23!$W:$AF,5,FALSE)</f>
        <v>66080.222169362532</v>
      </c>
      <c r="CP15" s="52">
        <f>VLOOKUP($A15,[5]FY23!$W:$AF,6,FALSE)</f>
        <v>43810.979675994116</v>
      </c>
      <c r="CQ15" s="5">
        <v>0.69899999999999995</v>
      </c>
      <c r="CR15" s="4">
        <v>0.76100000000000001</v>
      </c>
      <c r="CS15" s="4">
        <v>0.72799999999999998</v>
      </c>
      <c r="CT15" s="4">
        <v>0.80200000000000005</v>
      </c>
      <c r="CU15" s="4">
        <v>0.76</v>
      </c>
      <c r="CV15" s="4">
        <v>0.78700000000000003</v>
      </c>
      <c r="CW15" s="4">
        <v>0.84199999999999997</v>
      </c>
      <c r="CX15" s="4">
        <v>0.78300000000000003</v>
      </c>
      <c r="CY15" t="s">
        <v>223</v>
      </c>
      <c r="CZ15" t="s">
        <v>223</v>
      </c>
      <c r="DA15" t="s">
        <v>223</v>
      </c>
      <c r="DB15">
        <v>0</v>
      </c>
      <c r="DC15">
        <v>3</v>
      </c>
      <c r="DD15">
        <v>6</v>
      </c>
      <c r="DE15">
        <v>0</v>
      </c>
      <c r="DF15">
        <v>0</v>
      </c>
      <c r="DG15">
        <v>0</v>
      </c>
      <c r="DH15">
        <v>2</v>
      </c>
      <c r="DI15">
        <v>7</v>
      </c>
      <c r="DJ15">
        <v>0</v>
      </c>
      <c r="DK15">
        <v>0</v>
      </c>
      <c r="DL15">
        <v>1</v>
      </c>
      <c r="DM15">
        <v>2</v>
      </c>
      <c r="DN15">
        <v>3</v>
      </c>
      <c r="DO15">
        <v>3</v>
      </c>
      <c r="DP15">
        <v>0</v>
      </c>
      <c r="DQ15" s="5">
        <v>0</v>
      </c>
      <c r="DR15" s="5">
        <v>0.33300000000000002</v>
      </c>
      <c r="DS15" s="5">
        <v>0.66700000000000004</v>
      </c>
      <c r="DT15" s="5">
        <v>0</v>
      </c>
      <c r="DU15" s="5">
        <v>0</v>
      </c>
      <c r="DV15" s="5">
        <v>0</v>
      </c>
      <c r="DW15" s="5">
        <v>0.222</v>
      </c>
      <c r="DX15" s="5">
        <v>0.77800000000000002</v>
      </c>
      <c r="DY15" s="5">
        <v>0</v>
      </c>
      <c r="DZ15" s="5">
        <v>0</v>
      </c>
      <c r="EA15" s="5">
        <v>0.111</v>
      </c>
      <c r="EB15" s="5">
        <v>0.222</v>
      </c>
      <c r="EC15" s="5">
        <v>0.33300000000000002</v>
      </c>
      <c r="ED15" s="5">
        <v>0.33300000000000002</v>
      </c>
      <c r="EE15" s="5">
        <v>0</v>
      </c>
      <c r="EF15" s="36">
        <f>VLOOKUP($A15,'[6]Updated (2)'!$A$2:$Q$54,2,FALSE)</f>
        <v>0</v>
      </c>
      <c r="EG15" s="36">
        <f>VLOOKUP($A15,'[6]Updated (2)'!$A$2:$Q$54,3,FALSE)</f>
        <v>575579.94999999995</v>
      </c>
      <c r="EH15" s="36">
        <f>VLOOKUP($A15,'[6]Updated (2)'!$A$2:$Q$54,4,FALSE)</f>
        <v>0</v>
      </c>
      <c r="EI15" s="36">
        <f>VLOOKUP($A15,'[6]Updated (2)'!$A$2:$Q$54,5,FALSE)</f>
        <v>0</v>
      </c>
      <c r="EJ15" s="48">
        <f>VLOOKUP($A15,'[6]Updated (2)'!$A$2:$Q$54,6,FALSE)</f>
        <v>0</v>
      </c>
      <c r="EK15" s="48">
        <f>VLOOKUP($A15,'[6]Updated (2)'!$A$2:$Q$54,7,FALSE)</f>
        <v>584973.72</v>
      </c>
      <c r="EL15" s="48">
        <f>VLOOKUP($A15,'[6]Updated (2)'!$A$2:$Q$54,8,FALSE)</f>
        <v>0</v>
      </c>
      <c r="EM15" s="48">
        <f>VLOOKUP($A15,'[6]Updated (2)'!$A$2:$Q$54,9,FALSE)</f>
        <v>0</v>
      </c>
      <c r="EN15" s="36">
        <f>VLOOKUP($A15,'[6]Updated (2)'!$A$2:$Q$54,10,FALSE)</f>
        <v>0</v>
      </c>
      <c r="EO15" s="36">
        <f>VLOOKUP($A15,'[6]Updated (2)'!$A$2:$Q$54,11,FALSE)</f>
        <v>581750.12</v>
      </c>
      <c r="EP15" s="36">
        <f>VLOOKUP($A15,'[6]Updated (2)'!$A$2:$Q$54,12,FALSE)</f>
        <v>0</v>
      </c>
      <c r="EQ15" s="36">
        <f>VLOOKUP($A15,'[6]Updated (2)'!$A$2:$Q$54,13,FALSE)</f>
        <v>0</v>
      </c>
      <c r="ER15" s="48">
        <f>VLOOKUP($A15,'[6]Updated (2)'!$A$2:$Q$54,14,FALSE)</f>
        <v>0</v>
      </c>
      <c r="ES15" s="48">
        <f>VLOOKUP($A15,'[6]Updated (2)'!$A$2:$Q$54,15,FALSE)</f>
        <v>619442.67000000004</v>
      </c>
      <c r="ET15" s="48">
        <f>VLOOKUP($A15,'[6]Updated (2)'!$A$2:$Q$54,16,FALSE)</f>
        <v>0</v>
      </c>
      <c r="EU15" s="48">
        <f>VLOOKUP($A15,'[6]Updated (2)'!$A$2:$Q$54,17,FALSE)</f>
        <v>0</v>
      </c>
      <c r="EV15" s="37">
        <f>VLOOKUP($A15,[7]Totals!$A15:$F66,3,FALSE)-SUM(EF15:EI15)</f>
        <v>88118529.430000275</v>
      </c>
      <c r="EW15" s="37">
        <f>VLOOKUP($A15,[7]Totals!$A15:$F66,4,FALSE)-SUM(EJ15:EM15)</f>
        <v>96426829.2099998</v>
      </c>
      <c r="EX15" s="37">
        <f>VLOOKUP($A15,[7]Totals!$A15:$F66,5,FALSE)-SUM(EN15:EQ15)</f>
        <v>97817766.86999999</v>
      </c>
      <c r="EY15" s="37">
        <f>VLOOKUP($A15,[7]Totals!$A15:$F66,6,FALSE)-SUM(ER15:EU15)</f>
        <v>113963129.13999994</v>
      </c>
      <c r="EZ15" s="52">
        <f t="shared" si="2"/>
        <v>22960.329305915348</v>
      </c>
      <c r="FA15" s="52">
        <f t="shared" si="3"/>
        <v>25188.884764181079</v>
      </c>
      <c r="FB15" s="52">
        <f t="shared" si="4"/>
        <v>26703.475153626285</v>
      </c>
      <c r="FC15" s="52">
        <f t="shared" si="5"/>
        <v>32993.963376432359</v>
      </c>
      <c r="FD15" s="37">
        <f>VLOOKUP($A15,[8]Totals!$A$2:$F$54,3)-SUM(EF15:EI15)</f>
        <v>79743422.620000198</v>
      </c>
      <c r="FE15" s="37">
        <f>VLOOKUP($A15,[8]Totals!$A$2:$F$54,4)-SUM(EJ15:EM15)</f>
        <v>89390588.059999794</v>
      </c>
      <c r="FF15" s="37">
        <f>VLOOKUP($A15,[8]Totals!$A$2:$F$54,5)-SUM(EN15:EQ15)</f>
        <v>92486596.070000052</v>
      </c>
      <c r="FG15" s="37">
        <f>VLOOKUP($A15,[8]Totals!$A$2:$F$54,6)-SUM(ER15:EU15)</f>
        <v>95735856.309999943</v>
      </c>
      <c r="FH15" s="52">
        <f t="shared" si="6"/>
        <v>20778.095766911818</v>
      </c>
      <c r="FI15" s="52">
        <f t="shared" si="7"/>
        <v>23350.858263129656</v>
      </c>
      <c r="FJ15" s="52">
        <f t="shared" si="8"/>
        <v>25248.107774541317</v>
      </c>
      <c r="FK15" s="52">
        <f t="shared" si="9"/>
        <v>27716.905991789357</v>
      </c>
      <c r="FL15" s="37">
        <f>VLOOKUP($A15,[9]Totals!$A$3:$F$54,3)-SUM(EF15:EI15)</f>
        <v>72481822.25000006</v>
      </c>
      <c r="FM15" s="37">
        <f>VLOOKUP($A15,[9]Totals!$A$3:$F$54,4)-SUM(EJ15:EM15)</f>
        <v>74405326.339999869</v>
      </c>
      <c r="FN15" s="37">
        <f>VLOOKUP($A15,[9]Totals!$A$3:$F$54,5)-SUM(EN15:EQ15)</f>
        <v>79163838.209999949</v>
      </c>
      <c r="FO15" s="37">
        <f>VLOOKUP($A15,[9]Totals!$A$3:$F$54,6)-SUM(ER15:EU15)</f>
        <v>81722474.569999948</v>
      </c>
      <c r="FP15" s="52">
        <f t="shared" si="10"/>
        <v>18885.999554439208</v>
      </c>
      <c r="FQ15" s="52">
        <f t="shared" si="11"/>
        <v>19436.366479892342</v>
      </c>
      <c r="FR15" s="52">
        <f t="shared" si="12"/>
        <v>21611.100461083599</v>
      </c>
      <c r="FS15" s="52">
        <f t="shared" si="13"/>
        <v>23659.830625408926</v>
      </c>
      <c r="FT15" s="37">
        <f>VLOOKUP($A15,[10]Calculations!$AF$3:$AJ$54,2,FALSE)-EI15</f>
        <v>18975914.680000007</v>
      </c>
      <c r="FU15" s="37">
        <f>VLOOKUP($A15,[10]Calculations!$AF$3:$AJ$54,3,FALSE)-EM15</f>
        <v>18206733.279999997</v>
      </c>
      <c r="FV15" s="37">
        <f>VLOOKUP($A15,[10]Calculations!$AF$3:$AJ$54,4,FALSE)-EQ15</f>
        <v>19540279.819999997</v>
      </c>
      <c r="FW15" s="37">
        <f>VLOOKUP($A15,[10]Calculations!$AF$3:$AJ$54,5,FALSE)-EU15</f>
        <v>18543982.658124994</v>
      </c>
      <c r="FX15" s="52">
        <f t="shared" si="14"/>
        <v>27421.842023121397</v>
      </c>
      <c r="FY15" s="52">
        <f t="shared" si="15"/>
        <v>25752.097991513434</v>
      </c>
      <c r="FZ15" s="52">
        <f t="shared" si="16"/>
        <v>32138.618124999994</v>
      </c>
      <c r="GA15" s="52">
        <f t="shared" si="17"/>
        <v>32138.61812499999</v>
      </c>
    </row>
    <row r="16" spans="1:183" ht="15.75" x14ac:dyDescent="0.25">
      <c r="A16" s="66" t="s">
        <v>253</v>
      </c>
      <c r="B16" s="66" t="s">
        <v>254</v>
      </c>
      <c r="C16" s="67">
        <v>4</v>
      </c>
      <c r="D16" s="68" t="s">
        <v>221</v>
      </c>
      <c r="E16">
        <v>5</v>
      </c>
      <c r="F16" s="27">
        <v>2761</v>
      </c>
      <c r="G16" s="27">
        <v>2634</v>
      </c>
      <c r="H16" s="27">
        <v>2733</v>
      </c>
      <c r="I16" s="27">
        <v>2700</v>
      </c>
      <c r="J16" s="23">
        <v>306</v>
      </c>
      <c r="K16" s="23">
        <v>256</v>
      </c>
      <c r="L16" s="23">
        <v>275</v>
      </c>
      <c r="M16" s="23">
        <v>259</v>
      </c>
      <c r="N16" s="27">
        <v>2446</v>
      </c>
      <c r="O16" s="27">
        <v>2370</v>
      </c>
      <c r="P16" s="27">
        <v>2449</v>
      </c>
      <c r="Q16" s="27">
        <v>2436</v>
      </c>
      <c r="R16" s="25">
        <f>VLOOKUP($A16,'ADM, LTADM'!$B:$L,2,FALSE)</f>
        <v>2584.6400000000003</v>
      </c>
      <c r="S16" s="25">
        <f>VLOOKUP($A16,'ADM, LTADM'!$B:$L,3,FALSE)</f>
        <v>2581.2000000000003</v>
      </c>
      <c r="T16" s="25">
        <f>VLOOKUP($A16,'ADM, LTADM'!$B:$L,4,FALSE)</f>
        <v>2545.3099999999981</v>
      </c>
      <c r="U16" s="25">
        <f>VLOOKUP($A16,'ADM, LTADM'!$B:$L,5,FALSE)</f>
        <v>2576.6500000000005</v>
      </c>
      <c r="V16" s="29">
        <f>VLOOKUP($A16,'ADM, LTADM'!$B:$L,7,FALSE)</f>
        <v>2592.4399999999996</v>
      </c>
      <c r="W16" s="29">
        <f>VLOOKUP($A16,'ADM, LTADM'!$B:$L,8,FALSE)</f>
        <v>2592.4499999999998</v>
      </c>
      <c r="X16" s="29">
        <f>VLOOKUP($A16,'ADM, LTADM'!$B:$L,9,FALSE)</f>
        <v>2574.37</v>
      </c>
      <c r="Y16" s="29">
        <f>VLOOKUP($A16,'ADM, LTADM'!$B:$L,10,FALSE)</f>
        <v>2570.63</v>
      </c>
      <c r="Z16" s="10">
        <v>2540.12</v>
      </c>
      <c r="AA16" s="10">
        <v>2579.7399999999998</v>
      </c>
      <c r="AB16" s="10">
        <v>2570.31</v>
      </c>
      <c r="AC16" s="10">
        <v>2569.2600000000002</v>
      </c>
      <c r="AD16" s="2">
        <v>0.19840954274353878</v>
      </c>
      <c r="AE16" s="2">
        <v>0.14969325153374233</v>
      </c>
      <c r="AF16" s="2">
        <v>0.22222222222222221</v>
      </c>
      <c r="AG16" s="2">
        <v>0.16416091019910606</v>
      </c>
      <c r="AH16" s="2">
        <f t="shared" si="0"/>
        <v>0.19010833883316777</v>
      </c>
      <c r="AI16" s="46">
        <f>VLOOKUP(A16,'[1]SU_SD IDEA 3-21'!$A:$B,2,FALSE)</f>
        <v>363</v>
      </c>
      <c r="AJ16" s="46">
        <f>VLOOKUP(A16,'[2]SU_SD IDEA 3-21'!$A:$B,2,FALSE)</f>
        <v>399</v>
      </c>
      <c r="AK16" s="46">
        <f>VLOOKUP(A16,'[3]SU_SD IDEA 3-21'!$A:$B,2,FALSE)</f>
        <v>398</v>
      </c>
      <c r="AL16" s="46">
        <f>VLOOKUP($A16,'[4]SU_SD IDEA 3-21'!$A:$B,2,FALSE)</f>
        <v>418</v>
      </c>
      <c r="AM16" s="22">
        <f t="shared" si="18"/>
        <v>0.14044509099913333</v>
      </c>
      <c r="AN16" s="22">
        <f t="shared" si="19"/>
        <v>0.15457926545792652</v>
      </c>
      <c r="AO16" s="22">
        <f t="shared" si="20"/>
        <v>0.15636602221340437</v>
      </c>
      <c r="AP16" s="22">
        <f t="shared" si="21"/>
        <v>0.16222614635282243</v>
      </c>
      <c r="AQ16" s="26">
        <v>6.5208747514910542E-2</v>
      </c>
      <c r="AR16" s="26">
        <v>7.2392638036809814E-2</v>
      </c>
      <c r="AS16" s="26">
        <v>7.0261437908496732E-2</v>
      </c>
      <c r="AT16" s="26">
        <v>7.3547338480292559E-2</v>
      </c>
      <c r="AU16" s="2">
        <v>0.61936936936936937</v>
      </c>
      <c r="AV16" s="2">
        <v>0.71731448763250882</v>
      </c>
      <c r="AW16" s="2">
        <v>0.75565610859728505</v>
      </c>
      <c r="AX16" s="2">
        <v>0.68887083671811533</v>
      </c>
      <c r="AY16" s="2">
        <v>0.59111111111111114</v>
      </c>
      <c r="AZ16" s="2">
        <v>0.50264550264550267</v>
      </c>
      <c r="BA16" s="2">
        <v>0.6205357142857143</v>
      </c>
      <c r="BB16" s="2">
        <v>0.55600322320709106</v>
      </c>
      <c r="BC16" s="2">
        <v>0.65781710914454272</v>
      </c>
      <c r="BD16" s="2">
        <v>0.68586387434554974</v>
      </c>
      <c r="BE16" s="2" t="s">
        <v>222</v>
      </c>
      <c r="BF16" s="8">
        <v>0.67</v>
      </c>
      <c r="BG16" s="2">
        <v>0.57184750733137835</v>
      </c>
      <c r="BH16" s="2">
        <v>0.76963350785340312</v>
      </c>
      <c r="BI16" s="2" t="s">
        <v>222</v>
      </c>
      <c r="BJ16" s="8">
        <v>0.64</v>
      </c>
      <c r="BK16" s="31">
        <f>VLOOKUP($A16,[5]FY20!$W:$AF,7,FALSE)</f>
        <v>8.0268839103869656</v>
      </c>
      <c r="BL16" s="31">
        <f>VLOOKUP($A16,[5]FY20!$W:$AF,8,FALSE)</f>
        <v>0.65580448065173125</v>
      </c>
      <c r="BM16" s="31">
        <f>VLOOKUP($A16,[5]FY20!$W:$AF,9,FALSE)</f>
        <v>2.994704684317719</v>
      </c>
      <c r="BN16" s="31">
        <f>VLOOKUP($A16,[5]FY20!$W:$AF,10,FALSE)</f>
        <v>4.2236252545824842</v>
      </c>
      <c r="BO16" s="55">
        <f>VLOOKUP($A16,[5]FY21!$W:$AF,7,FALSE)</f>
        <v>9.2695542472666101</v>
      </c>
      <c r="BP16" s="55">
        <f>VLOOKUP($A16,[5]FY21!$W:$AF,8,FALSE)</f>
        <v>0.55929352396972243</v>
      </c>
      <c r="BQ16" s="55">
        <f>VLOOKUP($A16,[5]FY21!$W:$AF,9,FALSE)</f>
        <v>3.0042052144659377</v>
      </c>
      <c r="BR16" s="55">
        <f>VLOOKUP($A16,[5]FY21!$W:$AF,10,FALSE)</f>
        <v>6.1791421362489487</v>
      </c>
      <c r="BS16" s="31">
        <f>VLOOKUP($A16,[5]FY22!$W:$AF,7,FALSE)</f>
        <v>9.0777054515866542</v>
      </c>
      <c r="BT16" s="31">
        <f>VLOOKUP($A16,[5]FY22!$W:$AF,8,FALSE)</f>
        <v>0.54109031733116353</v>
      </c>
      <c r="BU16" s="31">
        <f>VLOOKUP($A16,[5]FY22!$W:$AF,9,FALSE)</f>
        <v>2.9430431244914566</v>
      </c>
      <c r="BV16" s="31">
        <f>VLOOKUP($A16,[5]FY22!$W:$AF,10,FALSE)</f>
        <v>6.287225386493084</v>
      </c>
      <c r="BW16" s="55">
        <f>VLOOKUP($A16,[5]FY23!$W:$AF,7,FALSE)</f>
        <v>9.0139287177386311</v>
      </c>
      <c r="BX16" s="55">
        <f>VLOOKUP($A16,[5]FY23!$W:$AF,8,FALSE)</f>
        <v>1.0159770585825483</v>
      </c>
      <c r="BY16" s="55">
        <f>VLOOKUP($A16,[5]FY23!$W:$AF,9,FALSE)</f>
        <v>2.9291274068004918</v>
      </c>
      <c r="BZ16" s="55">
        <f>VLOOKUP($A16,[5]FY23!$W:$AF,10,FALSE)</f>
        <v>6.1704219582138462</v>
      </c>
      <c r="CA16" s="37">
        <f>VLOOKUP($A16,[5]FY20!$W:$AF,3,FALSE)</f>
        <v>81094.433167563184</v>
      </c>
      <c r="CB16" s="37">
        <f>VLOOKUP($A16,[5]FY20!$W:$AF,4,FALSE)</f>
        <v>124042.42236024844</v>
      </c>
      <c r="CC16" s="37">
        <f>VLOOKUP($A16,[5]FY20!$W:$AF,5,FALSE)</f>
        <v>49419.300870511426</v>
      </c>
      <c r="CD16" s="37">
        <f>VLOOKUP($A16,[5]FY20!$W:$AF,6,FALSE)</f>
        <v>43932.018516732576</v>
      </c>
      <c r="CE16" s="52">
        <f>VLOOKUP($A16,[5]FY21!$W:$AF,3,FALSE)</f>
        <v>80499.260536224654</v>
      </c>
      <c r="CF16" s="52">
        <f>VLOOKUP($A16,[5]FY21!$W:$AF,4,FALSE)</f>
        <v>133054.66165413536</v>
      </c>
      <c r="CG16" s="52">
        <f>VLOOKUP($A16,[5]FY21!$W:$AF,5,FALSE)</f>
        <v>50026.539753639416</v>
      </c>
      <c r="CH16" s="52">
        <f>VLOOKUP($A16,[5]FY21!$W:$AF,6,FALSE)</f>
        <v>39359.70464135021</v>
      </c>
      <c r="CI16" s="37">
        <f>VLOOKUP($A16,[5]FY22!$W:$AF,3,FALSE)</f>
        <v>81279.397660556642</v>
      </c>
      <c r="CJ16" s="37">
        <f>VLOOKUP($A16,[5]FY22!$W:$AF,4,FALSE)</f>
        <v>124497.89473684212</v>
      </c>
      <c r="CK16" s="37">
        <f>VLOOKUP($A16,[5]FY22!$W:$AF,5,FALSE)</f>
        <v>50077.965164500965</v>
      </c>
      <c r="CL16" s="37">
        <f>VLOOKUP($A16,[5]FY22!$W:$AF,6,FALSE)</f>
        <v>40054.471334282389</v>
      </c>
      <c r="CM16" s="52">
        <f>VLOOKUP($A16,[5]FY23!$W:$AF,3,FALSE)</f>
        <v>80148.661546152798</v>
      </c>
      <c r="CN16" s="52">
        <f>VLOOKUP($A16,[5]FY23!$W:$AF,4,FALSE)</f>
        <v>112858.46774193548</v>
      </c>
      <c r="CO16" s="52">
        <f>VLOOKUP($A16,[5]FY23!$W:$AF,5,FALSE)</f>
        <v>58105.874125874128</v>
      </c>
      <c r="CP16" s="52">
        <f>VLOOKUP($A16,[5]FY23!$W:$AF,6,FALSE)</f>
        <v>48647.8820873722</v>
      </c>
      <c r="CQ16" s="5">
        <v>0.93899999999999995</v>
      </c>
      <c r="CR16" s="4">
        <v>0.94399999999999995</v>
      </c>
      <c r="CS16" s="4">
        <v>0.872</v>
      </c>
      <c r="CT16" s="4">
        <v>0.92100000000000004</v>
      </c>
      <c r="CU16" s="4">
        <v>0.95099999999999996</v>
      </c>
      <c r="CV16" s="4">
        <v>0.94</v>
      </c>
      <c r="CW16" s="4">
        <v>0.91100000000000003</v>
      </c>
      <c r="CX16" s="4">
        <v>0.89700000000000002</v>
      </c>
      <c r="CY16" t="s">
        <v>228</v>
      </c>
      <c r="CZ16" t="s">
        <v>228</v>
      </c>
      <c r="DA16" t="s">
        <v>228</v>
      </c>
      <c r="DB16">
        <v>0</v>
      </c>
      <c r="DC16">
        <v>5</v>
      </c>
      <c r="DD16">
        <v>0</v>
      </c>
      <c r="DE16">
        <v>0</v>
      </c>
      <c r="DF16">
        <v>0</v>
      </c>
      <c r="DG16">
        <v>0</v>
      </c>
      <c r="DH16">
        <v>4</v>
      </c>
      <c r="DI16">
        <v>1</v>
      </c>
      <c r="DJ16">
        <v>0</v>
      </c>
      <c r="DK16">
        <v>0</v>
      </c>
      <c r="DL16">
        <v>0</v>
      </c>
      <c r="DM16">
        <v>5</v>
      </c>
      <c r="DN16">
        <v>0</v>
      </c>
      <c r="DO16">
        <v>0</v>
      </c>
      <c r="DP16">
        <v>0</v>
      </c>
      <c r="DQ16" s="5">
        <v>0</v>
      </c>
      <c r="DR16" s="5">
        <v>1</v>
      </c>
      <c r="DS16" s="5">
        <v>0</v>
      </c>
      <c r="DT16" s="5">
        <v>0</v>
      </c>
      <c r="DU16" s="5">
        <v>0</v>
      </c>
      <c r="DV16" s="5">
        <v>0</v>
      </c>
      <c r="DW16" s="5">
        <v>0.8</v>
      </c>
      <c r="DX16" s="5">
        <v>0.2</v>
      </c>
      <c r="DY16" s="5">
        <v>0</v>
      </c>
      <c r="DZ16" s="5">
        <v>0</v>
      </c>
      <c r="EA16" s="5">
        <v>0</v>
      </c>
      <c r="EB16" s="5">
        <v>1</v>
      </c>
      <c r="EC16" s="5">
        <v>0</v>
      </c>
      <c r="ED16" s="5">
        <v>0</v>
      </c>
      <c r="EE16" s="5">
        <v>0</v>
      </c>
      <c r="EF16" s="36">
        <f>VLOOKUP($A16,'[6]Updated (2)'!$A$2:$Q$54,2,FALSE)</f>
        <v>0</v>
      </c>
      <c r="EG16" s="36">
        <f>VLOOKUP($A16,'[6]Updated (2)'!$A$2:$Q$54,3,FALSE)</f>
        <v>0</v>
      </c>
      <c r="EH16" s="36">
        <f>VLOOKUP($A16,'[6]Updated (2)'!$A$2:$Q$54,4,FALSE)</f>
        <v>0</v>
      </c>
      <c r="EI16" s="36">
        <f>VLOOKUP($A16,'[6]Updated (2)'!$A$2:$Q$54,5,FALSE)</f>
        <v>0</v>
      </c>
      <c r="EJ16" s="48">
        <f>VLOOKUP($A16,'[6]Updated (2)'!$A$2:$Q$54,6,FALSE)</f>
        <v>0</v>
      </c>
      <c r="EK16" s="48">
        <f>VLOOKUP($A16,'[6]Updated (2)'!$A$2:$Q$54,7,FALSE)</f>
        <v>0</v>
      </c>
      <c r="EL16" s="48">
        <f>VLOOKUP($A16,'[6]Updated (2)'!$A$2:$Q$54,8,FALSE)</f>
        <v>0</v>
      </c>
      <c r="EM16" s="48">
        <f>VLOOKUP($A16,'[6]Updated (2)'!$A$2:$Q$54,9,FALSE)</f>
        <v>0</v>
      </c>
      <c r="EN16" s="36">
        <f>VLOOKUP($A16,'[6]Updated (2)'!$A$2:$Q$54,10,FALSE)</f>
        <v>0</v>
      </c>
      <c r="EO16" s="36">
        <f>VLOOKUP($A16,'[6]Updated (2)'!$A$2:$Q$54,11,FALSE)</f>
        <v>0</v>
      </c>
      <c r="EP16" s="36">
        <f>VLOOKUP($A16,'[6]Updated (2)'!$A$2:$Q$54,12,FALSE)</f>
        <v>0</v>
      </c>
      <c r="EQ16" s="36">
        <f>VLOOKUP($A16,'[6]Updated (2)'!$A$2:$Q$54,13,FALSE)</f>
        <v>0</v>
      </c>
      <c r="ER16" s="48">
        <f>VLOOKUP($A16,'[6]Updated (2)'!$A$2:$Q$54,14,FALSE)</f>
        <v>0</v>
      </c>
      <c r="ES16" s="48">
        <f>VLOOKUP($A16,'[6]Updated (2)'!$A$2:$Q$54,15,FALSE)</f>
        <v>0</v>
      </c>
      <c r="ET16" s="48">
        <f>VLOOKUP($A16,'[6]Updated (2)'!$A$2:$Q$54,16,FALSE)</f>
        <v>0</v>
      </c>
      <c r="EU16" s="48">
        <f>VLOOKUP($A16,'[6]Updated (2)'!$A$2:$Q$54,17,FALSE)</f>
        <v>0</v>
      </c>
      <c r="EV16" s="37">
        <f>VLOOKUP($A16,[7]Totals!$A16:$F67,3,FALSE)-SUM(EF16:EI16)</f>
        <v>54314795.169999972</v>
      </c>
      <c r="EW16" s="37">
        <f>VLOOKUP($A16,[7]Totals!$A16:$F67,4,FALSE)-SUM(EJ16:EM16)</f>
        <v>54174285.469999962</v>
      </c>
      <c r="EX16" s="37">
        <f>VLOOKUP($A16,[7]Totals!$A16:$F67,5,FALSE)-SUM(EN16:EQ16)</f>
        <v>57318021.529999964</v>
      </c>
      <c r="EY16" s="37">
        <f>VLOOKUP($A16,[7]Totals!$A16:$F67,6,FALSE)-SUM(ER16:EU16)</f>
        <v>64531291.180000007</v>
      </c>
      <c r="EZ16" s="52">
        <f t="shared" si="2"/>
        <v>20951.225551989624</v>
      </c>
      <c r="FA16" s="52">
        <f t="shared" si="3"/>
        <v>20896.945156126432</v>
      </c>
      <c r="FB16" s="52">
        <f t="shared" si="4"/>
        <v>22264.873165085039</v>
      </c>
      <c r="FC16" s="52">
        <f t="shared" si="5"/>
        <v>25103.298094241491</v>
      </c>
      <c r="FD16" s="37">
        <f>VLOOKUP($A16,[8]Totals!$A$2:$F$54,3)-SUM(EF16:EI16)</f>
        <v>50926923.969999969</v>
      </c>
      <c r="FE16" s="37">
        <f>VLOOKUP($A16,[8]Totals!$A$2:$F$54,4)-SUM(EJ16:EM16)</f>
        <v>51597617.989999942</v>
      </c>
      <c r="FF16" s="37">
        <f>VLOOKUP($A16,[8]Totals!$A$2:$F$54,5)-SUM(EN16:EQ16)</f>
        <v>55413657.139999948</v>
      </c>
      <c r="FG16" s="37">
        <f>VLOOKUP($A16,[8]Totals!$A$2:$F$54,6)-SUM(ER16:EU16)</f>
        <v>59186692.449999996</v>
      </c>
      <c r="FH16" s="52">
        <f t="shared" si="6"/>
        <v>19644.398315872295</v>
      </c>
      <c r="FI16" s="52">
        <f t="shared" si="7"/>
        <v>19903.0330343883</v>
      </c>
      <c r="FJ16" s="52">
        <f t="shared" si="8"/>
        <v>21525.133193752237</v>
      </c>
      <c r="FK16" s="52">
        <f t="shared" si="9"/>
        <v>23024.197356290089</v>
      </c>
      <c r="FL16" s="37">
        <f>VLOOKUP($A16,[9]Totals!$A$3:$F$54,3)-SUM(EF16:EI16)</f>
        <v>49108042.939999983</v>
      </c>
      <c r="FM16" s="37">
        <f>VLOOKUP($A16,[9]Totals!$A$3:$F$54,4)-SUM(EJ16:EM16)</f>
        <v>48230243.049999952</v>
      </c>
      <c r="FN16" s="37">
        <f>VLOOKUP($A16,[9]Totals!$A$3:$F$54,5)-SUM(EN16:EQ16)</f>
        <v>52030951.119999915</v>
      </c>
      <c r="FO16" s="37">
        <f>VLOOKUP($A16,[9]Totals!$A$3:$F$54,6)-SUM(ER16:EU16)</f>
        <v>56224216.480000019</v>
      </c>
      <c r="FP16" s="52">
        <f t="shared" si="10"/>
        <v>18942.788623844714</v>
      </c>
      <c r="FQ16" s="52">
        <f t="shared" si="11"/>
        <v>18604.116974290711</v>
      </c>
      <c r="FR16" s="52">
        <f t="shared" si="12"/>
        <v>20211.139471016177</v>
      </c>
      <c r="FS16" s="52">
        <f t="shared" si="13"/>
        <v>21871.765473833268</v>
      </c>
      <c r="FT16" s="37">
        <f>VLOOKUP($A16,[10]Calculations!$AF$3:$AJ$54,2,FALSE)-EI16</f>
        <v>12031517.12999999</v>
      </c>
      <c r="FU16" s="37">
        <f>VLOOKUP($A16,[10]Calculations!$AF$3:$AJ$54,3,FALSE)-EM16</f>
        <v>11846906.350000003</v>
      </c>
      <c r="FV16" s="37">
        <f>VLOOKUP($A16,[10]Calculations!$AF$3:$AJ$54,4,FALSE)-EQ16</f>
        <v>13647080.550000006</v>
      </c>
      <c r="FW16" s="37">
        <f>VLOOKUP($A16,[10]Calculations!$AF$3:$AJ$54,5,FALSE)-EU16</f>
        <v>14332863.492211062</v>
      </c>
      <c r="FX16" s="52">
        <f t="shared" si="14"/>
        <v>33144.675289256171</v>
      </c>
      <c r="FY16" s="52">
        <f t="shared" si="15"/>
        <v>29691.494611528829</v>
      </c>
      <c r="FZ16" s="52">
        <f t="shared" si="16"/>
        <v>34289.147110552782</v>
      </c>
      <c r="GA16" s="52">
        <f t="shared" si="17"/>
        <v>34289.147110552782</v>
      </c>
    </row>
    <row r="17" spans="1:183" ht="15.75" x14ac:dyDescent="0.25">
      <c r="A17" s="66" t="s">
        <v>255</v>
      </c>
      <c r="B17" s="66" t="s">
        <v>256</v>
      </c>
      <c r="C17" s="67">
        <v>1</v>
      </c>
      <c r="D17" s="68" t="s">
        <v>221</v>
      </c>
      <c r="E17">
        <v>3</v>
      </c>
      <c r="F17" s="27">
        <v>911</v>
      </c>
      <c r="G17" s="27">
        <v>842</v>
      </c>
      <c r="H17" s="27">
        <v>809</v>
      </c>
      <c r="I17" s="27">
        <v>792</v>
      </c>
      <c r="J17" s="23">
        <v>120</v>
      </c>
      <c r="K17" s="23">
        <v>90</v>
      </c>
      <c r="L17" s="23">
        <v>59</v>
      </c>
      <c r="M17" s="23">
        <v>103</v>
      </c>
      <c r="N17" s="27">
        <v>791</v>
      </c>
      <c r="O17" s="27">
        <v>734</v>
      </c>
      <c r="P17" s="27">
        <v>750</v>
      </c>
      <c r="Q17" s="27">
        <v>689</v>
      </c>
      <c r="R17" s="25">
        <f>VLOOKUP($A17,'ADM, LTADM'!$B:$L,2,FALSE)</f>
        <v>838.76</v>
      </c>
      <c r="S17" s="25">
        <f>VLOOKUP($A17,'ADM, LTADM'!$B:$L,3,FALSE)</f>
        <v>835.24000000000012</v>
      </c>
      <c r="T17" s="25">
        <f>VLOOKUP($A17,'ADM, LTADM'!$B:$L,4,FALSE)</f>
        <v>774.76999999999987</v>
      </c>
      <c r="U17" s="25">
        <f>VLOOKUP($A17,'ADM, LTADM'!$B:$L,5,FALSE)</f>
        <v>796.19</v>
      </c>
      <c r="V17" s="29">
        <f>VLOOKUP($A17,'ADM, LTADM'!$B:$L,7,FALSE)</f>
        <v>857.52</v>
      </c>
      <c r="W17" s="29">
        <f>VLOOKUP($A17,'ADM, LTADM'!$B:$L,8,FALSE)</f>
        <v>836.84999999999991</v>
      </c>
      <c r="X17" s="29">
        <f>VLOOKUP($A17,'ADM, LTADM'!$B:$L,9,FALSE)</f>
        <v>807.47</v>
      </c>
      <c r="Y17" s="29">
        <f>VLOOKUP($A17,'ADM, LTADM'!$B:$L,10,FALSE)</f>
        <v>786.25</v>
      </c>
      <c r="Z17" s="10">
        <v>991.01</v>
      </c>
      <c r="AA17" s="10">
        <v>980.83</v>
      </c>
      <c r="AB17" s="10">
        <v>946.5</v>
      </c>
      <c r="AC17" s="10">
        <v>908.43</v>
      </c>
      <c r="AD17" s="2">
        <v>0.61590296495956875</v>
      </c>
      <c r="AE17" s="2">
        <v>0.5541666666666667</v>
      </c>
      <c r="AF17" s="2">
        <v>0.59027777777777779</v>
      </c>
      <c r="AG17" s="2">
        <v>0.6092619392185239</v>
      </c>
      <c r="AH17" s="2">
        <f t="shared" si="0"/>
        <v>0.58678246980133775</v>
      </c>
      <c r="AI17" s="46">
        <f>VLOOKUP(A17,'[1]SU_SD IDEA 3-21'!$A:$B,2,FALSE)</f>
        <v>213</v>
      </c>
      <c r="AJ17" s="46">
        <f>VLOOKUP(A17,'[2]SU_SD IDEA 3-21'!$A:$B,2,FALSE)</f>
        <v>226</v>
      </c>
      <c r="AK17" s="46">
        <f>VLOOKUP(A17,'[3]SU_SD IDEA 3-21'!$A:$B,2,FALSE)</f>
        <v>224</v>
      </c>
      <c r="AL17" s="46">
        <f>VLOOKUP($A17,'[4]SU_SD IDEA 3-21'!$A:$B,2,FALSE)</f>
        <v>219</v>
      </c>
      <c r="AM17" s="22">
        <f t="shared" si="18"/>
        <v>0.25394630168343746</v>
      </c>
      <c r="AN17" s="22">
        <f t="shared" si="19"/>
        <v>0.27058091087591585</v>
      </c>
      <c r="AO17" s="22">
        <f t="shared" si="20"/>
        <v>0.28911806084386338</v>
      </c>
      <c r="AP17" s="22">
        <f t="shared" si="21"/>
        <v>0.27505997312199348</v>
      </c>
      <c r="AQ17" s="26">
        <v>0.39487870619946092</v>
      </c>
      <c r="AR17" s="26">
        <v>0.35833333333333334</v>
      </c>
      <c r="AS17" s="26">
        <v>0.33333333333333331</v>
      </c>
      <c r="AT17" s="26">
        <v>0.34442836468885674</v>
      </c>
      <c r="AU17" s="2">
        <v>0.24260355029585798</v>
      </c>
      <c r="AV17" s="2">
        <v>0.19375000000000001</v>
      </c>
      <c r="AW17" s="2">
        <v>0.23684210526315788</v>
      </c>
      <c r="AX17" s="2">
        <v>0.22070844686648503</v>
      </c>
      <c r="AY17" s="2">
        <v>0.1206896551724138</v>
      </c>
      <c r="AZ17" s="2">
        <v>0.15060240963855423</v>
      </c>
      <c r="BA17" s="2">
        <v>8.5106382978723402E-2</v>
      </c>
      <c r="BB17" s="2">
        <v>0.12919896640826872</v>
      </c>
      <c r="BC17" s="2">
        <v>0.37037037037037035</v>
      </c>
      <c r="BD17" s="2">
        <v>0.2857142857142857</v>
      </c>
      <c r="BE17" s="2" t="s">
        <v>222</v>
      </c>
      <c r="BF17" s="8">
        <v>0.33</v>
      </c>
      <c r="BG17" s="2">
        <v>0.27777777777777779</v>
      </c>
      <c r="BH17" s="2">
        <v>0.1276595744680851</v>
      </c>
      <c r="BI17" s="2" t="s">
        <v>222</v>
      </c>
      <c r="BJ17" s="8">
        <v>0.21</v>
      </c>
      <c r="BK17" s="31">
        <f>VLOOKUP($A17,[5]FY20!$W:$AF,7,FALSE)</f>
        <v>11.949431099873577</v>
      </c>
      <c r="BL17" s="31">
        <f>VLOOKUP($A17,[5]FY20!$W:$AF,8,FALSE)</f>
        <v>0.93552465233881155</v>
      </c>
      <c r="BM17" s="31">
        <f>VLOOKUP($A17,[5]FY20!$W:$AF,9,FALSE)</f>
        <v>2.0847029077117574</v>
      </c>
      <c r="BN17" s="31">
        <f>VLOOKUP($A17,[5]FY20!$W:$AF,10,FALSE)</f>
        <v>5.0505689001264216</v>
      </c>
      <c r="BO17" s="55">
        <f>VLOOKUP($A17,[5]FY21!$W:$AF,7,FALSE)</f>
        <v>12.746010638297872</v>
      </c>
      <c r="BP17" s="55">
        <f>VLOOKUP($A17,[5]FY21!$W:$AF,8,FALSE)</f>
        <v>0.98404255319148926</v>
      </c>
      <c r="BQ17" s="55">
        <f>VLOOKUP($A17,[5]FY21!$W:$AF,9,FALSE)</f>
        <v>2.5784574468085113</v>
      </c>
      <c r="BR17" s="55">
        <f>VLOOKUP($A17,[5]FY21!$W:$AF,10,FALSE)</f>
        <v>5.3218085106382969</v>
      </c>
      <c r="BS17" s="31">
        <f>VLOOKUP($A17,[5]FY22!$W:$AF,7,FALSE)</f>
        <v>10.834666666666667</v>
      </c>
      <c r="BT17" s="31">
        <f>VLOOKUP($A17,[5]FY22!$W:$AF,8,FALSE)</f>
        <v>1.3133333333333335</v>
      </c>
      <c r="BU17" s="31">
        <f>VLOOKUP($A17,[5]FY22!$W:$AF,9,FALSE)</f>
        <v>1.8666666666666669</v>
      </c>
      <c r="BV17" s="31">
        <f>VLOOKUP($A17,[5]FY22!$W:$AF,10,FALSE)</f>
        <v>6.3866666666666667</v>
      </c>
      <c r="BW17" s="55">
        <f>VLOOKUP($A17,[5]FY23!$W:$AF,7,FALSE)</f>
        <v>12.240928882438316</v>
      </c>
      <c r="BX17" s="55">
        <f>VLOOKUP($A17,[5]FY23!$W:$AF,8,FALSE)</f>
        <v>1.8751814223512335</v>
      </c>
      <c r="BY17" s="55">
        <f>VLOOKUP($A17,[5]FY23!$W:$AF,9,FALSE)</f>
        <v>2.2220609579100143</v>
      </c>
      <c r="BZ17" s="55">
        <f>VLOOKUP($A17,[5]FY23!$W:$AF,10,FALSE)</f>
        <v>7.3860667634252541</v>
      </c>
      <c r="CA17" s="37">
        <f>VLOOKUP($A17,[5]FY20!$W:$AF,3,FALSE)</f>
        <v>63010.948370715196</v>
      </c>
      <c r="CB17" s="37">
        <f>VLOOKUP($A17,[5]FY20!$W:$AF,4,FALSE)</f>
        <v>99363.783783783787</v>
      </c>
      <c r="CC17" s="37">
        <f>VLOOKUP($A17,[5]FY20!$W:$AF,5,FALSE)</f>
        <v>49820.471801091568</v>
      </c>
      <c r="CD17" s="37">
        <f>VLOOKUP($A17,[5]FY20!$W:$AF,6,FALSE)</f>
        <v>46069.782478097608</v>
      </c>
      <c r="CE17" s="52">
        <f>VLOOKUP($A17,[5]FY21!$W:$AF,3,FALSE)</f>
        <v>65037.183098591551</v>
      </c>
      <c r="CF17" s="52">
        <f>VLOOKUP($A17,[5]FY21!$W:$AF,4,FALSE)</f>
        <v>105430.13513513515</v>
      </c>
      <c r="CG17" s="52">
        <f>VLOOKUP($A17,[5]FY21!$W:$AF,5,FALSE)</f>
        <v>55793.553378029901</v>
      </c>
      <c r="CH17" s="52">
        <f>VLOOKUP($A17,[5]FY21!$W:$AF,6,FALSE)</f>
        <v>50814.042978510748</v>
      </c>
      <c r="CI17" s="37">
        <f>VLOOKUP($A17,[5]FY22!$W:$AF,3,FALSE)</f>
        <v>63471.265075067677</v>
      </c>
      <c r="CJ17" s="37">
        <f>VLOOKUP($A17,[5]FY22!$W:$AF,4,FALSE)</f>
        <v>92389.847715736047</v>
      </c>
      <c r="CK17" s="37">
        <f>VLOOKUP($A17,[5]FY22!$W:$AF,5,FALSE)</f>
        <v>62465.857142857145</v>
      </c>
      <c r="CL17" s="37">
        <f>VLOOKUP($A17,[5]FY22!$W:$AF,6,FALSE)</f>
        <v>50835.866388308968</v>
      </c>
      <c r="CM17" s="52">
        <f>VLOOKUP($A17,[5]FY23!$W:$AF,3,FALSE)</f>
        <v>67438.463362580034</v>
      </c>
      <c r="CN17" s="52">
        <f>VLOOKUP($A17,[5]FY23!$W:$AF,4,FALSE)</f>
        <v>91685.139318885456</v>
      </c>
      <c r="CO17" s="52">
        <f>VLOOKUP($A17,[5]FY23!$W:$AF,5,FALSE)</f>
        <v>65106.335728282167</v>
      </c>
      <c r="CP17" s="52">
        <f>VLOOKUP($A17,[5]FY23!$W:$AF,6,FALSE)</f>
        <v>53800.255452937708</v>
      </c>
      <c r="CQ17" s="5">
        <v>0.42799999999999999</v>
      </c>
      <c r="CR17" s="4">
        <v>0.7</v>
      </c>
      <c r="CS17" s="4">
        <v>0.57599999999999996</v>
      </c>
      <c r="CT17" s="4">
        <v>0.53900000000000003</v>
      </c>
      <c r="CU17" s="4">
        <v>0.45200000000000001</v>
      </c>
      <c r="CV17" s="4">
        <v>0.70099999999999996</v>
      </c>
      <c r="CW17" s="4">
        <v>0.56799999999999995</v>
      </c>
      <c r="CX17" s="4">
        <v>0.69199999999999995</v>
      </c>
      <c r="CY17" t="s">
        <v>223</v>
      </c>
      <c r="CZ17" t="s">
        <v>223</v>
      </c>
      <c r="DA17" t="s">
        <v>257</v>
      </c>
      <c r="DB17">
        <v>0</v>
      </c>
      <c r="DC17">
        <v>0</v>
      </c>
      <c r="DD17">
        <v>3</v>
      </c>
      <c r="DE17">
        <v>0</v>
      </c>
      <c r="DF17">
        <v>0</v>
      </c>
      <c r="DG17">
        <v>0</v>
      </c>
      <c r="DH17">
        <v>0</v>
      </c>
      <c r="DI17">
        <v>3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3</v>
      </c>
      <c r="DP17">
        <v>0</v>
      </c>
      <c r="DQ17" s="5">
        <v>0</v>
      </c>
      <c r="DR17" s="5">
        <v>0</v>
      </c>
      <c r="DS17" s="5">
        <v>1</v>
      </c>
      <c r="DT17" s="5">
        <v>0</v>
      </c>
      <c r="DU17" s="5">
        <v>0</v>
      </c>
      <c r="DV17" s="5">
        <v>0</v>
      </c>
      <c r="DW17" s="5">
        <v>0</v>
      </c>
      <c r="DX17" s="5">
        <v>1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1</v>
      </c>
      <c r="EE17" s="5">
        <v>0</v>
      </c>
      <c r="EF17" s="36">
        <f>VLOOKUP($A17,'[6]Updated (2)'!$A$2:$Q$54,2,FALSE)</f>
        <v>0</v>
      </c>
      <c r="EG17" s="36">
        <f>VLOOKUP($A17,'[6]Updated (2)'!$A$2:$Q$54,3,FALSE)</f>
        <v>0</v>
      </c>
      <c r="EH17" s="36">
        <f>VLOOKUP($A17,'[6]Updated (2)'!$A$2:$Q$54,4,FALSE)</f>
        <v>0</v>
      </c>
      <c r="EI17" s="36">
        <f>VLOOKUP($A17,'[6]Updated (2)'!$A$2:$Q$54,5,FALSE)</f>
        <v>0</v>
      </c>
      <c r="EJ17" s="48">
        <f>VLOOKUP($A17,'[6]Updated (2)'!$A$2:$Q$54,6,FALSE)</f>
        <v>0</v>
      </c>
      <c r="EK17" s="48">
        <f>VLOOKUP($A17,'[6]Updated (2)'!$A$2:$Q$54,7,FALSE)</f>
        <v>0</v>
      </c>
      <c r="EL17" s="48">
        <f>VLOOKUP($A17,'[6]Updated (2)'!$A$2:$Q$54,8,FALSE)</f>
        <v>0</v>
      </c>
      <c r="EM17" s="48">
        <f>VLOOKUP($A17,'[6]Updated (2)'!$A$2:$Q$54,9,FALSE)</f>
        <v>0</v>
      </c>
      <c r="EN17" s="36">
        <f>VLOOKUP($A17,'[6]Updated (2)'!$A$2:$Q$54,10,FALSE)</f>
        <v>0</v>
      </c>
      <c r="EO17" s="36">
        <f>VLOOKUP($A17,'[6]Updated (2)'!$A$2:$Q$54,11,FALSE)</f>
        <v>0</v>
      </c>
      <c r="EP17" s="36">
        <f>VLOOKUP($A17,'[6]Updated (2)'!$A$2:$Q$54,12,FALSE)</f>
        <v>0</v>
      </c>
      <c r="EQ17" s="36">
        <f>VLOOKUP($A17,'[6]Updated (2)'!$A$2:$Q$54,13,FALSE)</f>
        <v>0</v>
      </c>
      <c r="ER17" s="48">
        <f>VLOOKUP($A17,'[6]Updated (2)'!$A$2:$Q$54,14,FALSE)</f>
        <v>0</v>
      </c>
      <c r="ES17" s="48">
        <f>VLOOKUP($A17,'[6]Updated (2)'!$A$2:$Q$54,15,FALSE)</f>
        <v>0</v>
      </c>
      <c r="ET17" s="48">
        <f>VLOOKUP($A17,'[6]Updated (2)'!$A$2:$Q$54,16,FALSE)</f>
        <v>0</v>
      </c>
      <c r="EU17" s="48">
        <f>VLOOKUP($A17,'[6]Updated (2)'!$A$2:$Q$54,17,FALSE)</f>
        <v>0</v>
      </c>
      <c r="EV17" s="37">
        <f>VLOOKUP($A17,[7]Totals!$A17:$F68,3,FALSE)-SUM(EF17:EI17)</f>
        <v>25652571.629999999</v>
      </c>
      <c r="EW17" s="37">
        <f>VLOOKUP($A17,[7]Totals!$A17:$F68,4,FALSE)-SUM(EJ17:EM17)</f>
        <v>41644379</v>
      </c>
      <c r="EX17" s="37">
        <f>VLOOKUP($A17,[7]Totals!$A17:$F68,5,FALSE)-SUM(EN17:EQ17)</f>
        <v>50779172</v>
      </c>
      <c r="EY17" s="37">
        <f>VLOOKUP($A17,[7]Totals!$A17:$F68,6,FALSE)-SUM(ER17:EU17)</f>
        <v>37005683.879999995</v>
      </c>
      <c r="EZ17" s="52">
        <f t="shared" si="2"/>
        <v>29914.83770640918</v>
      </c>
      <c r="FA17" s="52">
        <f t="shared" si="3"/>
        <v>49763.253868674197</v>
      </c>
      <c r="FB17" s="52">
        <f t="shared" si="4"/>
        <v>62886.759879624005</v>
      </c>
      <c r="FC17" s="52">
        <f t="shared" si="5"/>
        <v>47066.052629570739</v>
      </c>
      <c r="FD17" s="37">
        <f>VLOOKUP($A17,[8]Totals!$A$2:$F$54,3)-SUM(EF17:EI17)</f>
        <v>20424372.629999999</v>
      </c>
      <c r="FE17" s="37">
        <f>VLOOKUP($A17,[8]Totals!$A$2:$F$54,4)-SUM(EJ17:EM17)</f>
        <v>21054761</v>
      </c>
      <c r="FF17" s="37">
        <f>VLOOKUP($A17,[8]Totals!$A$2:$F$54,5)-SUM(EN17:EQ17)</f>
        <v>27765592</v>
      </c>
      <c r="FG17" s="37">
        <f>VLOOKUP($A17,[8]Totals!$A$2:$F$54,6)-SUM(ER17:EU17)</f>
        <v>27036038.879999999</v>
      </c>
      <c r="FH17" s="52">
        <f t="shared" si="6"/>
        <v>23817.954834872657</v>
      </c>
      <c r="FI17" s="52">
        <f t="shared" si="7"/>
        <v>25159.539941447096</v>
      </c>
      <c r="FJ17" s="52">
        <f t="shared" si="8"/>
        <v>34385.911550893528</v>
      </c>
      <c r="FK17" s="52">
        <f t="shared" si="9"/>
        <v>34386.05898887122</v>
      </c>
      <c r="FL17" s="37">
        <f>VLOOKUP($A17,[9]Totals!$A$3:$F$54,3)-SUM(EF17:EI17)</f>
        <v>16531516.630000001</v>
      </c>
      <c r="FM17" s="37">
        <f>VLOOKUP($A17,[9]Totals!$A$3:$F$54,4)-SUM(EJ17:EM17)</f>
        <v>17147402</v>
      </c>
      <c r="FN17" s="37">
        <f>VLOOKUP($A17,[9]Totals!$A$3:$F$54,5)-SUM(EN17:EQ17)</f>
        <v>18331403</v>
      </c>
      <c r="FO17" s="37">
        <f>VLOOKUP($A17,[9]Totals!$A$3:$F$54,6)-SUM(ER17:EU17)</f>
        <v>21938981.879999999</v>
      </c>
      <c r="FP17" s="52">
        <f t="shared" si="10"/>
        <v>19278.286955406289</v>
      </c>
      <c r="FQ17" s="52">
        <f t="shared" si="11"/>
        <v>20490.412857740339</v>
      </c>
      <c r="FR17" s="52">
        <f t="shared" si="12"/>
        <v>22702.2712918127</v>
      </c>
      <c r="FS17" s="52">
        <f t="shared" si="13"/>
        <v>27903.315586645469</v>
      </c>
      <c r="FT17" s="37">
        <f>VLOOKUP($A17,[10]Calculations!$AF$3:$AJ$54,2,FALSE)-EI17</f>
        <v>5396321</v>
      </c>
      <c r="FU17" s="37">
        <f>VLOOKUP($A17,[10]Calculations!$AF$3:$AJ$54,3,FALSE)-EM17</f>
        <v>5701857</v>
      </c>
      <c r="FV17" s="37">
        <f>VLOOKUP($A17,[10]Calculations!$AF$3:$AJ$54,4,FALSE)-EQ17</f>
        <v>6070915</v>
      </c>
      <c r="FW17" s="37">
        <f>VLOOKUP($A17,[10]Calculations!$AF$3:$AJ$54,5,FALSE)-EU17</f>
        <v>5935403.5044642864</v>
      </c>
      <c r="FX17" s="52">
        <f t="shared" si="14"/>
        <v>25334.840375586853</v>
      </c>
      <c r="FY17" s="52">
        <f t="shared" si="15"/>
        <v>25229.455752212391</v>
      </c>
      <c r="FZ17" s="52">
        <f t="shared" si="16"/>
        <v>27102.299107142859</v>
      </c>
      <c r="GA17" s="52">
        <f t="shared" si="17"/>
        <v>27102.299107142859</v>
      </c>
    </row>
    <row r="18" spans="1:183" ht="15.75" x14ac:dyDescent="0.25">
      <c r="A18" s="66" t="s">
        <v>258</v>
      </c>
      <c r="B18" s="66" t="s">
        <v>259</v>
      </c>
      <c r="C18" s="67">
        <v>1</v>
      </c>
      <c r="D18" s="68" t="s">
        <v>240</v>
      </c>
      <c r="E18">
        <v>1</v>
      </c>
      <c r="F18" s="27">
        <v>180</v>
      </c>
      <c r="G18" s="27">
        <v>190</v>
      </c>
      <c r="H18" s="27">
        <v>179</v>
      </c>
      <c r="I18" s="27">
        <v>176</v>
      </c>
      <c r="J18" s="23">
        <v>12</v>
      </c>
      <c r="K18" s="23">
        <v>10</v>
      </c>
      <c r="L18" s="23">
        <v>12</v>
      </c>
      <c r="M18" s="23">
        <v>17</v>
      </c>
      <c r="N18" s="27">
        <v>168</v>
      </c>
      <c r="O18" s="27">
        <v>180</v>
      </c>
      <c r="P18" s="27">
        <v>167</v>
      </c>
      <c r="Q18" s="27">
        <v>159</v>
      </c>
      <c r="R18" s="25">
        <f>VLOOKUP($A18,'ADM, LTADM'!$B:$L,2,FALSE)</f>
        <v>404.45</v>
      </c>
      <c r="S18" s="25">
        <f>VLOOKUP($A18,'ADM, LTADM'!$B:$L,3,FALSE)</f>
        <v>403.5</v>
      </c>
      <c r="T18" s="25">
        <f>VLOOKUP($A18,'ADM, LTADM'!$B:$L,4,FALSE)</f>
        <v>446.85</v>
      </c>
      <c r="U18" s="25">
        <f>VLOOKUP($A18,'ADM, LTADM'!$B:$L,5,FALSE)</f>
        <v>415.9</v>
      </c>
      <c r="V18" s="29">
        <f>VLOOKUP($A18,'ADM, LTADM'!$B:$L,7,FALSE)</f>
        <v>411.60999999999996</v>
      </c>
      <c r="W18" s="29">
        <f>VLOOKUP($A18,'ADM, LTADM'!$B:$L,8,FALSE)</f>
        <v>403.5</v>
      </c>
      <c r="X18" s="29">
        <f>VLOOKUP($A18,'ADM, LTADM'!$B:$L,9,FALSE)</f>
        <v>423.7</v>
      </c>
      <c r="Y18" s="29">
        <f>VLOOKUP($A18,'ADM, LTADM'!$B:$L,10,FALSE)</f>
        <v>428.43</v>
      </c>
      <c r="Z18" s="10">
        <v>426.51</v>
      </c>
      <c r="AA18" s="10">
        <v>428.9</v>
      </c>
      <c r="AB18" s="10">
        <v>416.4</v>
      </c>
      <c r="AC18" s="10">
        <v>434.1</v>
      </c>
      <c r="AD18" s="2">
        <v>0.31547619047619047</v>
      </c>
      <c r="AE18" s="2">
        <v>0.20765027322404372</v>
      </c>
      <c r="AF18" s="2">
        <v>0.33132530120481929</v>
      </c>
      <c r="AG18" s="2">
        <v>0.31034482758620691</v>
      </c>
      <c r="AH18" s="2">
        <f t="shared" si="0"/>
        <v>0.28481725496835114</v>
      </c>
      <c r="AI18" s="46">
        <f>VLOOKUP(A18,'[1]SU_SD IDEA 3-21'!$A:$B,2,FALSE)</f>
        <v>71</v>
      </c>
      <c r="AJ18" s="46">
        <f>VLOOKUP(A18,'[2]SU_SD IDEA 3-21'!$A:$B,2,FALSE)</f>
        <v>70</v>
      </c>
      <c r="AK18" s="46">
        <f>VLOOKUP(A18,'[3]SU_SD IDEA 3-21'!$A:$B,2,FALSE)</f>
        <v>83</v>
      </c>
      <c r="AL18" s="46">
        <f>VLOOKUP($A18,'[4]SU_SD IDEA 3-21'!$A:$B,2,FALSE)</f>
        <v>74</v>
      </c>
      <c r="AM18" s="22">
        <f t="shared" si="18"/>
        <v>0.17554703918902215</v>
      </c>
      <c r="AN18" s="22">
        <f t="shared" si="19"/>
        <v>0.17348203221809169</v>
      </c>
      <c r="AO18" s="22">
        <f t="shared" si="20"/>
        <v>0.18574465704375068</v>
      </c>
      <c r="AP18" s="22">
        <f t="shared" si="21"/>
        <v>0.17792738639095937</v>
      </c>
      <c r="AQ18" s="26">
        <v>0</v>
      </c>
      <c r="AR18" s="26">
        <v>0</v>
      </c>
      <c r="AS18" s="26">
        <v>0</v>
      </c>
      <c r="AT18" s="26">
        <v>0</v>
      </c>
      <c r="AU18" s="2" t="s">
        <v>222</v>
      </c>
      <c r="AV18" s="2" t="s">
        <v>222</v>
      </c>
      <c r="AW18" s="2" t="s">
        <v>222</v>
      </c>
      <c r="AX18" s="2"/>
      <c r="AY18" s="2" t="s">
        <v>222</v>
      </c>
      <c r="AZ18" s="2" t="s">
        <v>222</v>
      </c>
      <c r="BA18" s="2" t="s">
        <v>222</v>
      </c>
      <c r="BB18" s="2"/>
      <c r="BC18" s="2" t="s">
        <v>222</v>
      </c>
      <c r="BD18" s="2" t="s">
        <v>222</v>
      </c>
      <c r="BE18" s="2">
        <v>0.47619047619047616</v>
      </c>
      <c r="BF18" s="8">
        <v>0.48</v>
      </c>
      <c r="BG18" s="2" t="s">
        <v>222</v>
      </c>
      <c r="BH18" s="2">
        <v>0.47058823529411764</v>
      </c>
      <c r="BI18" s="2">
        <v>0.52380952380952384</v>
      </c>
      <c r="BJ18" s="8">
        <v>0.5</v>
      </c>
      <c r="BK18" s="31">
        <f>VLOOKUP($A18,[5]FY20!$W:$AF,7,FALSE)</f>
        <v>14.285714285714285</v>
      </c>
      <c r="BL18" s="31">
        <f>VLOOKUP($A18,[5]FY20!$W:$AF,8,FALSE)</f>
        <v>2.9761904761904758</v>
      </c>
      <c r="BM18" s="31">
        <f>VLOOKUP($A18,[5]FY20!$W:$AF,9,FALSE)</f>
        <v>2.5476190476190479</v>
      </c>
      <c r="BN18" s="31">
        <f>VLOOKUP($A18,[5]FY20!$W:$AF,10,FALSE)</f>
        <v>4.7619047619047619</v>
      </c>
      <c r="BO18" s="55">
        <f>VLOOKUP($A18,[5]FY21!$W:$AF,7,FALSE)</f>
        <v>11.944444444444445</v>
      </c>
      <c r="BP18" s="55">
        <f>VLOOKUP($A18,[5]FY21!$W:$AF,8,FALSE)</f>
        <v>3.3333333333333335</v>
      </c>
      <c r="BQ18" s="55">
        <f>VLOOKUP($A18,[5]FY21!$W:$AF,9,FALSE)</f>
        <v>2.3777777777777778</v>
      </c>
      <c r="BR18" s="55">
        <f>VLOOKUP($A18,[5]FY21!$W:$AF,10,FALSE)</f>
        <v>5.1277777777777782</v>
      </c>
      <c r="BS18" s="31">
        <f>VLOOKUP($A18,[5]FY22!$W:$AF,7,FALSE)</f>
        <v>13.473053892215569</v>
      </c>
      <c r="BT18" s="31">
        <f>VLOOKUP($A18,[5]FY22!$W:$AF,8,FALSE)</f>
        <v>4.7904191616766472</v>
      </c>
      <c r="BU18" s="31">
        <f>VLOOKUP($A18,[5]FY22!$W:$AF,9,FALSE)</f>
        <v>3.1616766467065869</v>
      </c>
      <c r="BV18" s="31">
        <f>VLOOKUP($A18,[5]FY22!$W:$AF,10,FALSE)</f>
        <v>7.1257485029940115</v>
      </c>
      <c r="BW18" s="55">
        <f>VLOOKUP($A18,[5]FY23!$W:$AF,7,FALSE)</f>
        <v>15.723270440251572</v>
      </c>
      <c r="BX18" s="55">
        <f>VLOOKUP($A18,[5]FY23!$W:$AF,8,FALSE)</f>
        <v>3.7735849056603774</v>
      </c>
      <c r="BY18" s="55">
        <f>VLOOKUP($A18,[5]FY23!$W:$AF,9,FALSE)</f>
        <v>2.6918238993710695</v>
      </c>
      <c r="BZ18" s="55">
        <f>VLOOKUP($A18,[5]FY23!$W:$AF,10,FALSE)</f>
        <v>5.798742138364779</v>
      </c>
      <c r="CA18" s="37">
        <f>VLOOKUP($A18,[5]FY20!$W:$AF,3,FALSE)</f>
        <v>44335.707499999997</v>
      </c>
      <c r="CB18" s="37">
        <f>VLOOKUP($A18,[5]FY20!$W:$AF,4,FALSE)</f>
        <v>72229.2</v>
      </c>
      <c r="CC18" s="37">
        <f>VLOOKUP($A18,[5]FY20!$W:$AF,5,FALSE)</f>
        <v>40420.93457943925</v>
      </c>
      <c r="CD18" s="37">
        <f>VLOOKUP($A18,[5]FY20!$W:$AF,6,FALSE)</f>
        <v>39221.125</v>
      </c>
      <c r="CE18" s="52">
        <f>VLOOKUP($A18,[5]FY21!$W:$AF,3,FALSE)</f>
        <v>47159.953488372092</v>
      </c>
      <c r="CF18" s="52">
        <f>VLOOKUP($A18,[5]FY21!$W:$AF,4,FALSE)</f>
        <v>64216</v>
      </c>
      <c r="CG18" s="52">
        <f>VLOOKUP($A18,[5]FY21!$W:$AF,5,FALSE)</f>
        <v>42992.523364485976</v>
      </c>
      <c r="CH18" s="52">
        <f>VLOOKUP($A18,[5]FY21!$W:$AF,6,FALSE)</f>
        <v>39925.243770314191</v>
      </c>
      <c r="CI18" s="37">
        <f>VLOOKUP($A18,[5]FY22!$W:$AF,3,FALSE)</f>
        <v>53421.466666666667</v>
      </c>
      <c r="CJ18" s="37">
        <f>VLOOKUP($A18,[5]FY22!$W:$AF,4,FALSE)</f>
        <v>58755.625</v>
      </c>
      <c r="CK18" s="37">
        <f>VLOOKUP($A18,[5]FY22!$W:$AF,5,FALSE)</f>
        <v>52420.454545454544</v>
      </c>
      <c r="CL18" s="37">
        <f>VLOOKUP($A18,[5]FY22!$W:$AF,6,FALSE)</f>
        <v>42288.991596638654</v>
      </c>
      <c r="CM18" s="52">
        <f>VLOOKUP($A18,[5]FY23!$W:$AF,3,FALSE)</f>
        <v>54050.64</v>
      </c>
      <c r="CN18" s="52">
        <f>VLOOKUP($A18,[5]FY23!$W:$AF,4,FALSE)</f>
        <v>79358.833333333328</v>
      </c>
      <c r="CO18" s="52">
        <f>VLOOKUP($A18,[5]FY23!$W:$AF,5,FALSE)</f>
        <v>46456.775700934573</v>
      </c>
      <c r="CP18" s="52">
        <f>VLOOKUP($A18,[5]FY23!$W:$AF,6,FALSE)</f>
        <v>46680.043383947945</v>
      </c>
      <c r="CQ18" s="5">
        <v>0.68</v>
      </c>
      <c r="CR18" s="4">
        <v>0.95799999999999996</v>
      </c>
      <c r="CS18" s="4">
        <v>0.89200000000000002</v>
      </c>
      <c r="CT18" s="4">
        <v>0.92500000000000004</v>
      </c>
      <c r="CU18" s="4">
        <v>0.91300000000000003</v>
      </c>
      <c r="CV18" s="4">
        <v>0.68</v>
      </c>
      <c r="CW18" s="4">
        <v>0.75800000000000001</v>
      </c>
      <c r="CX18" s="4">
        <v>0.89200000000000002</v>
      </c>
      <c r="CY18" t="s">
        <v>243</v>
      </c>
      <c r="CZ18" t="s">
        <v>243</v>
      </c>
      <c r="DA18" t="s">
        <v>243</v>
      </c>
      <c r="DB18">
        <v>0</v>
      </c>
      <c r="DC18">
        <v>0</v>
      </c>
      <c r="DD18">
        <v>0</v>
      </c>
      <c r="DE18">
        <v>0</v>
      </c>
      <c r="DF18">
        <v>1</v>
      </c>
      <c r="DG18">
        <v>0</v>
      </c>
      <c r="DH18">
        <v>0</v>
      </c>
      <c r="DI18">
        <v>0</v>
      </c>
      <c r="DJ18">
        <v>0</v>
      </c>
      <c r="DK18">
        <v>1</v>
      </c>
      <c r="DL18">
        <v>0</v>
      </c>
      <c r="DM18">
        <v>0</v>
      </c>
      <c r="DN18">
        <v>0</v>
      </c>
      <c r="DO18">
        <v>0</v>
      </c>
      <c r="DP18">
        <v>0</v>
      </c>
      <c r="DQ18" s="5">
        <v>0</v>
      </c>
      <c r="DR18" s="5">
        <v>0</v>
      </c>
      <c r="DS18" s="5">
        <v>0</v>
      </c>
      <c r="DT18" s="5">
        <v>0</v>
      </c>
      <c r="DU18" s="5">
        <v>1</v>
      </c>
      <c r="DV18" s="5">
        <v>0</v>
      </c>
      <c r="DW18" s="5">
        <v>0</v>
      </c>
      <c r="DX18" s="5">
        <v>0</v>
      </c>
      <c r="DY18" s="5">
        <v>0</v>
      </c>
      <c r="DZ18" s="5">
        <v>1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36">
        <f>VLOOKUP($A18,'[6]Updated (2)'!$A$2:$Q$54,2,FALSE)</f>
        <v>0</v>
      </c>
      <c r="EG18" s="36">
        <f>VLOOKUP($A18,'[6]Updated (2)'!$A$2:$Q$54,3,FALSE)</f>
        <v>0</v>
      </c>
      <c r="EH18" s="36">
        <f>VLOOKUP($A18,'[6]Updated (2)'!$A$2:$Q$54,4,FALSE)</f>
        <v>0</v>
      </c>
      <c r="EI18" s="36">
        <f>VLOOKUP($A18,'[6]Updated (2)'!$A$2:$Q$54,5,FALSE)</f>
        <v>0</v>
      </c>
      <c r="EJ18" s="48">
        <f>VLOOKUP($A18,'[6]Updated (2)'!$A$2:$Q$54,6,FALSE)</f>
        <v>0</v>
      </c>
      <c r="EK18" s="48">
        <f>VLOOKUP($A18,'[6]Updated (2)'!$A$2:$Q$54,7,FALSE)</f>
        <v>0</v>
      </c>
      <c r="EL18" s="48">
        <f>VLOOKUP($A18,'[6]Updated (2)'!$A$2:$Q$54,8,FALSE)</f>
        <v>0</v>
      </c>
      <c r="EM18" s="48">
        <f>VLOOKUP($A18,'[6]Updated (2)'!$A$2:$Q$54,9,FALSE)</f>
        <v>0</v>
      </c>
      <c r="EN18" s="36">
        <f>VLOOKUP($A18,'[6]Updated (2)'!$A$2:$Q$54,10,FALSE)</f>
        <v>0</v>
      </c>
      <c r="EO18" s="36">
        <f>VLOOKUP($A18,'[6]Updated (2)'!$A$2:$Q$54,11,FALSE)</f>
        <v>0</v>
      </c>
      <c r="EP18" s="36">
        <f>VLOOKUP($A18,'[6]Updated (2)'!$A$2:$Q$54,12,FALSE)</f>
        <v>0</v>
      </c>
      <c r="EQ18" s="36">
        <f>VLOOKUP($A18,'[6]Updated (2)'!$A$2:$Q$54,13,FALSE)</f>
        <v>0</v>
      </c>
      <c r="ER18" s="48">
        <f>VLOOKUP($A18,'[6]Updated (2)'!$A$2:$Q$54,14,FALSE)</f>
        <v>0</v>
      </c>
      <c r="ES18" s="48">
        <f>VLOOKUP($A18,'[6]Updated (2)'!$A$2:$Q$54,15,FALSE)</f>
        <v>0</v>
      </c>
      <c r="ET18" s="48">
        <f>VLOOKUP($A18,'[6]Updated (2)'!$A$2:$Q$54,16,FALSE)</f>
        <v>0</v>
      </c>
      <c r="EU18" s="48">
        <f>VLOOKUP($A18,'[6]Updated (2)'!$A$2:$Q$54,17,FALSE)</f>
        <v>0</v>
      </c>
      <c r="EV18" s="37">
        <f>VLOOKUP($A18,[7]Totals!$A18:$F69,3,FALSE)-SUM(EF18:EI18)</f>
        <v>10501059.190000005</v>
      </c>
      <c r="EW18" s="37">
        <f>VLOOKUP($A18,[7]Totals!$A18:$F69,4,FALSE)-SUM(EJ18:EM18)</f>
        <v>10331686.16</v>
      </c>
      <c r="EX18" s="37">
        <f>VLOOKUP($A18,[7]Totals!$A18:$F69,5,FALSE)-SUM(EN18:EQ18)</f>
        <v>14132036.900000004</v>
      </c>
      <c r="EY18" s="37">
        <f>VLOOKUP($A18,[7]Totals!$A18:$F69,6,FALSE)-SUM(ER18:EU18)</f>
        <v>13469026.889999995</v>
      </c>
      <c r="EZ18" s="52">
        <f t="shared" si="2"/>
        <v>25512.1576006414</v>
      </c>
      <c r="FA18" s="52">
        <f t="shared" si="3"/>
        <v>25605.17016109046</v>
      </c>
      <c r="FB18" s="52">
        <f t="shared" si="4"/>
        <v>33353.875147510043</v>
      </c>
      <c r="FC18" s="52">
        <f t="shared" si="5"/>
        <v>31438.10398431481</v>
      </c>
      <c r="FD18" s="37">
        <f>VLOOKUP($A18,[8]Totals!$A$2:$F$54,3)-SUM(EF18:EI18)</f>
        <v>10501059.190000005</v>
      </c>
      <c r="FE18" s="37">
        <f>VLOOKUP($A18,[8]Totals!$A$2:$F$54,4)-SUM(EJ18:EM18)</f>
        <v>10331686.16</v>
      </c>
      <c r="FF18" s="37">
        <f>VLOOKUP($A18,[8]Totals!$A$2:$F$54,5)-SUM(EN18:EQ18)</f>
        <v>13752052.800000004</v>
      </c>
      <c r="FG18" s="37">
        <f>VLOOKUP($A18,[8]Totals!$A$2:$F$54,6)-SUM(ER18:EU18)</f>
        <v>13391094.889999995</v>
      </c>
      <c r="FH18" s="52">
        <f t="shared" si="6"/>
        <v>25512.1576006414</v>
      </c>
      <c r="FI18" s="52">
        <f t="shared" si="7"/>
        <v>25605.17016109046</v>
      </c>
      <c r="FJ18" s="52">
        <f t="shared" si="8"/>
        <v>32457.051687514762</v>
      </c>
      <c r="FK18" s="52">
        <f t="shared" si="9"/>
        <v>31256.202623532419</v>
      </c>
      <c r="FL18" s="37">
        <f>VLOOKUP($A18,[9]Totals!$A$3:$F$54,3)-SUM(EF18:EI18)</f>
        <v>8418381.2299999986</v>
      </c>
      <c r="FM18" s="37">
        <f>VLOOKUP($A18,[9]Totals!$A$3:$F$54,4)-SUM(EJ18:EM18)</f>
        <v>9389598.9399999995</v>
      </c>
      <c r="FN18" s="37">
        <f>VLOOKUP($A18,[9]Totals!$A$3:$F$54,5)-SUM(EN18:EQ18)</f>
        <v>9505586.1799999997</v>
      </c>
      <c r="FO18" s="37">
        <f>VLOOKUP($A18,[9]Totals!$A$3:$F$54,6)-SUM(ER18:EU18)</f>
        <v>12599466.99</v>
      </c>
      <c r="FP18" s="52">
        <f t="shared" si="10"/>
        <v>20452.324360438277</v>
      </c>
      <c r="FQ18" s="52">
        <f t="shared" si="11"/>
        <v>23270.381511771993</v>
      </c>
      <c r="FR18" s="52">
        <f t="shared" si="12"/>
        <v>22434.70894500826</v>
      </c>
      <c r="FS18" s="52">
        <f t="shared" si="13"/>
        <v>29408.461102163714</v>
      </c>
      <c r="FT18" s="37">
        <f>VLOOKUP($A18,[10]Calculations!$AF$3:$AJ$54,2,FALSE)-EI18</f>
        <v>1598840.8799999983</v>
      </c>
      <c r="FU18" s="37">
        <f>VLOOKUP($A18,[10]Calculations!$AF$3:$AJ$54,3,FALSE)-EM18</f>
        <v>1640027.0499999996</v>
      </c>
      <c r="FV18" s="37">
        <f>VLOOKUP($A18,[10]Calculations!$AF$3:$AJ$54,4,FALSE)-EQ18</f>
        <v>2504230.4500000002</v>
      </c>
      <c r="FW18" s="37">
        <f>VLOOKUP($A18,[10]Calculations!$AF$3:$AJ$54,5,FALSE)-EU18</f>
        <v>2232687.389156627</v>
      </c>
      <c r="FX18" s="52">
        <f t="shared" si="14"/>
        <v>22518.885633802791</v>
      </c>
      <c r="FY18" s="52">
        <f t="shared" si="15"/>
        <v>23428.95785714285</v>
      </c>
      <c r="FZ18" s="52">
        <f t="shared" si="16"/>
        <v>30171.451204819281</v>
      </c>
      <c r="GA18" s="52">
        <f t="shared" si="17"/>
        <v>30171.451204819285</v>
      </c>
    </row>
    <row r="19" spans="1:183" ht="15.75" x14ac:dyDescent="0.25">
      <c r="A19" s="66" t="s">
        <v>260</v>
      </c>
      <c r="B19" s="66" t="s">
        <v>261</v>
      </c>
      <c r="C19" s="67">
        <v>3</v>
      </c>
      <c r="D19" s="68" t="s">
        <v>221</v>
      </c>
      <c r="E19">
        <v>8</v>
      </c>
      <c r="F19" s="27">
        <v>1921</v>
      </c>
      <c r="G19" s="27">
        <v>1804</v>
      </c>
      <c r="H19" s="27">
        <v>1918</v>
      </c>
      <c r="I19" s="27">
        <v>1881</v>
      </c>
      <c r="J19" s="23">
        <v>194</v>
      </c>
      <c r="K19" s="23">
        <v>124</v>
      </c>
      <c r="L19" s="23">
        <v>183</v>
      </c>
      <c r="M19" s="23">
        <v>182</v>
      </c>
      <c r="N19" s="27">
        <v>1727</v>
      </c>
      <c r="O19" s="27">
        <v>1680</v>
      </c>
      <c r="P19" s="27">
        <v>1735</v>
      </c>
      <c r="Q19" s="27">
        <v>1699</v>
      </c>
      <c r="R19" s="25">
        <f>VLOOKUP($A19,'ADM, LTADM'!$B:$L,2,FALSE)</f>
        <v>1979.17</v>
      </c>
      <c r="S19" s="25">
        <f>VLOOKUP($A19,'ADM, LTADM'!$B:$L,3,FALSE)</f>
        <v>1982.08</v>
      </c>
      <c r="T19" s="25">
        <f>VLOOKUP($A19,'ADM, LTADM'!$B:$L,4,FALSE)</f>
        <v>1970.5900000000001</v>
      </c>
      <c r="U19" s="25">
        <f>VLOOKUP($A19,'ADM, LTADM'!$B:$L,5,FALSE)</f>
        <v>1957.07</v>
      </c>
      <c r="V19" s="29">
        <f>VLOOKUP($A19,'ADM, LTADM'!$B:$L,7,FALSE)</f>
        <v>1999.79</v>
      </c>
      <c r="W19" s="29">
        <f>VLOOKUP($A19,'ADM, LTADM'!$B:$L,8,FALSE)</f>
        <v>1989.94</v>
      </c>
      <c r="X19" s="29">
        <f>VLOOKUP($A19,'ADM, LTADM'!$B:$L,9,FALSE)</f>
        <v>1987.9599999999998</v>
      </c>
      <c r="Y19" s="29">
        <f>VLOOKUP($A19,'ADM, LTADM'!$B:$L,10,FALSE)</f>
        <v>1981.18</v>
      </c>
      <c r="Z19" s="10">
        <v>2026.94</v>
      </c>
      <c r="AA19" s="10">
        <v>2005.63</v>
      </c>
      <c r="AB19" s="10">
        <v>1999.83</v>
      </c>
      <c r="AC19" s="10">
        <v>1997.37</v>
      </c>
      <c r="AD19" s="2">
        <v>0.48971428571428571</v>
      </c>
      <c r="AE19" s="2">
        <v>0.52457075192421554</v>
      </c>
      <c r="AF19" s="2">
        <v>0.51202749140893467</v>
      </c>
      <c r="AG19" s="2">
        <v>0.50465657741559955</v>
      </c>
      <c r="AH19" s="2">
        <f t="shared" si="0"/>
        <v>0.50877084301581199</v>
      </c>
      <c r="AI19" s="46">
        <f>VLOOKUP(A19,'[1]SU_SD IDEA 3-21'!$A:$B,2,FALSE)</f>
        <v>345</v>
      </c>
      <c r="AJ19" s="46">
        <f>VLOOKUP(A19,'[2]SU_SD IDEA 3-21'!$A:$B,2,FALSE)</f>
        <v>347</v>
      </c>
      <c r="AK19" s="46">
        <f>VLOOKUP(A19,'[3]SU_SD IDEA 3-21'!$A:$B,2,FALSE)</f>
        <v>336</v>
      </c>
      <c r="AL19" s="46">
        <f>VLOOKUP($A19,'[4]SU_SD IDEA 3-21'!$A:$B,2,FALSE)</f>
        <v>316</v>
      </c>
      <c r="AM19" s="22">
        <f t="shared" si="18"/>
        <v>0.17431549588969111</v>
      </c>
      <c r="AN19" s="22">
        <f t="shared" si="19"/>
        <v>0.17506861478850502</v>
      </c>
      <c r="AO19" s="22">
        <f t="shared" si="20"/>
        <v>0.17050730999345373</v>
      </c>
      <c r="AP19" s="22">
        <f t="shared" si="21"/>
        <v>0.16146586478766728</v>
      </c>
      <c r="AQ19" s="26">
        <v>6.8571428571428568E-3</v>
      </c>
      <c r="AR19" s="26" t="s">
        <v>222</v>
      </c>
      <c r="AS19" s="26">
        <v>9.736540664375716E-3</v>
      </c>
      <c r="AT19" s="26">
        <v>1.2805587892898719E-2</v>
      </c>
      <c r="AU19" s="2">
        <v>0.49337748344370863</v>
      </c>
      <c r="AV19" s="2">
        <v>0.61442006269592475</v>
      </c>
      <c r="AW19" s="2">
        <v>0.41304347826086957</v>
      </c>
      <c r="AX19" s="2">
        <v>0.52964426877470361</v>
      </c>
      <c r="AY19" s="2">
        <v>0.5298013245033113</v>
      </c>
      <c r="AZ19" s="2">
        <v>0.51249999999999996</v>
      </c>
      <c r="BA19" s="2">
        <v>0.32608695652173914</v>
      </c>
      <c r="BB19" s="2">
        <v>0.48552631578947369</v>
      </c>
      <c r="BC19" s="2">
        <v>0.33103448275862069</v>
      </c>
      <c r="BD19" s="2">
        <v>0.57534246575342463</v>
      </c>
      <c r="BE19" s="2" t="s">
        <v>222</v>
      </c>
      <c r="BF19" s="8">
        <v>0.45</v>
      </c>
      <c r="BG19" s="2">
        <v>0.27586206896551724</v>
      </c>
      <c r="BH19" s="2">
        <v>0.51351351351351349</v>
      </c>
      <c r="BI19" s="2" t="s">
        <v>222</v>
      </c>
      <c r="BJ19" s="8">
        <v>0.4</v>
      </c>
      <c r="BK19" s="31">
        <f>VLOOKUP($A19,[5]FY20!$W:$AF,7,FALSE)</f>
        <v>10.63636363636364</v>
      </c>
      <c r="BL19" s="31">
        <f>VLOOKUP($A19,[5]FY20!$W:$AF,8,FALSE)</f>
        <v>1.0596409959467283</v>
      </c>
      <c r="BM19" s="31">
        <f>VLOOKUP($A19,[5]FY20!$W:$AF,9,FALSE)</f>
        <v>2.075854082223509</v>
      </c>
      <c r="BN19" s="31">
        <f>VLOOKUP($A19,[5]FY20!$W:$AF,10,FALSE)</f>
        <v>4.5836711059640995</v>
      </c>
      <c r="BO19" s="55">
        <f>VLOOKUP($A19,[5]FY21!$W:$AF,7,FALSE)</f>
        <v>9.933779761904761</v>
      </c>
      <c r="BP19" s="55">
        <f>VLOOKUP($A19,[5]FY21!$W:$AF,8,FALSE)</f>
        <v>1.0773809523809523</v>
      </c>
      <c r="BQ19" s="55">
        <f>VLOOKUP($A19,[5]FY21!$W:$AF,9,FALSE)</f>
        <v>2.2648809523809521</v>
      </c>
      <c r="BR19" s="55">
        <f>VLOOKUP($A19,[5]FY21!$W:$AF,10,FALSE)</f>
        <v>5.9880952380952372</v>
      </c>
      <c r="BS19" s="31">
        <f>VLOOKUP($A19,[5]FY22!$W:$AF,7,FALSE)</f>
        <v>10.270893371757927</v>
      </c>
      <c r="BT19" s="31">
        <f>VLOOKUP($A19,[5]FY22!$W:$AF,8,FALSE)</f>
        <v>1.138328530259366</v>
      </c>
      <c r="BU19" s="31">
        <f>VLOOKUP($A19,[5]FY22!$W:$AF,9,FALSE)</f>
        <v>2.1665706051873199</v>
      </c>
      <c r="BV19" s="31">
        <f>VLOOKUP($A19,[5]FY22!$W:$AF,10,FALSE)</f>
        <v>6.198270893371757</v>
      </c>
      <c r="BW19" s="55">
        <f>VLOOKUP($A19,[5]FY23!$W:$AF,7,FALSE)</f>
        <v>10.221306650971162</v>
      </c>
      <c r="BX19" s="55">
        <f>VLOOKUP($A19,[5]FY23!$W:$AF,8,FALSE)</f>
        <v>1.2536786344908768</v>
      </c>
      <c r="BY19" s="55">
        <f>VLOOKUP($A19,[5]FY23!$W:$AF,9,FALSE)</f>
        <v>2.0394349617422014</v>
      </c>
      <c r="BZ19" s="55">
        <f>VLOOKUP($A19,[5]FY23!$W:$AF,10,FALSE)</f>
        <v>6.2271924661565627</v>
      </c>
      <c r="CA19" s="37">
        <f>VLOOKUP($A19,[5]FY20!$W:$AF,3,FALSE)</f>
        <v>51283.253416081425</v>
      </c>
      <c r="CB19" s="37">
        <f>VLOOKUP($A19,[5]FY20!$W:$AF,4,FALSE)</f>
        <v>81055.437158469955</v>
      </c>
      <c r="CC19" s="37">
        <f>VLOOKUP($A19,[5]FY20!$W:$AF,5,FALSE)</f>
        <v>56471.633472803354</v>
      </c>
      <c r="CD19" s="37">
        <f>VLOOKUP($A19,[5]FY20!$W:$AF,6,FALSE)</f>
        <v>34523.72018696311</v>
      </c>
      <c r="CE19" s="52">
        <f>VLOOKUP($A19,[5]FY21!$W:$AF,3,FALSE)</f>
        <v>51307.521533967498</v>
      </c>
      <c r="CF19" s="52">
        <f>VLOOKUP($A19,[5]FY21!$W:$AF,4,FALSE)</f>
        <v>85439.502762430944</v>
      </c>
      <c r="CG19" s="52">
        <f>VLOOKUP($A19,[5]FY21!$W:$AF,5,FALSE)</f>
        <v>56659.474375821294</v>
      </c>
      <c r="CH19" s="52">
        <f>VLOOKUP($A19,[5]FY21!$W:$AF,6,FALSE)</f>
        <v>41046.868787276348</v>
      </c>
      <c r="CI19" s="37">
        <f>VLOOKUP($A19,[5]FY22!$W:$AF,3,FALSE)</f>
        <v>52874.120426487076</v>
      </c>
      <c r="CJ19" s="37">
        <f>VLOOKUP($A19,[5]FY22!$W:$AF,4,FALSE)</f>
        <v>84855.443037974677</v>
      </c>
      <c r="CK19" s="37">
        <f>VLOOKUP($A19,[5]FY22!$W:$AF,5,FALSE)</f>
        <v>56567.553338653895</v>
      </c>
      <c r="CL19" s="37">
        <f>VLOOKUP($A19,[5]FY22!$W:$AF,6,FALSE)</f>
        <v>35058.90040915009</v>
      </c>
      <c r="CM19" s="52">
        <f>VLOOKUP($A19,[5]FY23!$W:$AF,3,FALSE)</f>
        <v>54794.809455257389</v>
      </c>
      <c r="CN19" s="52">
        <f>VLOOKUP($A19,[5]FY23!$W:$AF,4,FALSE)</f>
        <v>89690.892018779356</v>
      </c>
      <c r="CO19" s="52">
        <f>VLOOKUP($A19,[5]FY23!$W:$AF,5,FALSE)</f>
        <v>60512.323232323237</v>
      </c>
      <c r="CP19" s="52">
        <f>VLOOKUP($A19,[5]FY23!$W:$AF,6,FALSE)</f>
        <v>42005.657466918718</v>
      </c>
      <c r="CQ19" s="5">
        <v>0.83</v>
      </c>
      <c r="CR19" s="4">
        <v>0.89200000000000002</v>
      </c>
      <c r="CS19" s="4">
        <v>0.83599999999999997</v>
      </c>
      <c r="CT19" s="4">
        <v>0.82199999999999995</v>
      </c>
      <c r="CU19" s="4">
        <v>0.83299999999999996</v>
      </c>
      <c r="CV19" s="4">
        <v>0.85199999999999998</v>
      </c>
      <c r="CW19" s="4">
        <v>0.82699999999999996</v>
      </c>
      <c r="CX19" s="4">
        <v>0.83599999999999997</v>
      </c>
      <c r="CY19" t="s">
        <v>223</v>
      </c>
      <c r="CZ19" t="s">
        <v>223</v>
      </c>
      <c r="DA19" t="s">
        <v>223</v>
      </c>
      <c r="DB19">
        <v>0</v>
      </c>
      <c r="DC19">
        <v>1</v>
      </c>
      <c r="DD19">
        <v>7</v>
      </c>
      <c r="DE19">
        <v>0</v>
      </c>
      <c r="DF19">
        <v>0</v>
      </c>
      <c r="DG19">
        <v>0</v>
      </c>
      <c r="DH19">
        <v>1</v>
      </c>
      <c r="DI19">
        <v>7</v>
      </c>
      <c r="DJ19">
        <v>0</v>
      </c>
      <c r="DK19">
        <v>0</v>
      </c>
      <c r="DL19">
        <v>1</v>
      </c>
      <c r="DM19">
        <v>2</v>
      </c>
      <c r="DN19">
        <v>1</v>
      </c>
      <c r="DO19">
        <v>4</v>
      </c>
      <c r="DP19">
        <v>0</v>
      </c>
      <c r="DQ19" s="5">
        <v>0</v>
      </c>
      <c r="DR19" s="5">
        <v>0.125</v>
      </c>
      <c r="DS19" s="5">
        <v>0.875</v>
      </c>
      <c r="DT19" s="5">
        <v>0</v>
      </c>
      <c r="DU19" s="5">
        <v>0</v>
      </c>
      <c r="DV19" s="5">
        <v>0</v>
      </c>
      <c r="DW19" s="5">
        <v>0.125</v>
      </c>
      <c r="DX19" s="5">
        <v>0.875</v>
      </c>
      <c r="DY19" s="5">
        <v>0</v>
      </c>
      <c r="DZ19" s="5">
        <v>0</v>
      </c>
      <c r="EA19" s="5">
        <v>0.125</v>
      </c>
      <c r="EB19" s="5">
        <v>0.25</v>
      </c>
      <c r="EC19" s="5">
        <v>0.125</v>
      </c>
      <c r="ED19" s="5">
        <v>0.5</v>
      </c>
      <c r="EE19" s="5">
        <v>0</v>
      </c>
      <c r="EF19" s="36">
        <f>VLOOKUP($A19,'[6]Updated (2)'!$A$2:$Q$54,2,FALSE)</f>
        <v>2715300</v>
      </c>
      <c r="EG19" s="36">
        <f>VLOOKUP($A19,'[6]Updated (2)'!$A$2:$Q$54,3,FALSE)</f>
        <v>247177.49</v>
      </c>
      <c r="EH19" s="36">
        <f>VLOOKUP($A19,'[6]Updated (2)'!$A$2:$Q$54,4,FALSE)</f>
        <v>387199</v>
      </c>
      <c r="EI19" s="36">
        <f>VLOOKUP($A19,'[6]Updated (2)'!$A$2:$Q$54,5,FALSE)</f>
        <v>0</v>
      </c>
      <c r="EJ19" s="48">
        <f>VLOOKUP($A19,'[6]Updated (2)'!$A$2:$Q$54,6,FALSE)</f>
        <v>2353860</v>
      </c>
      <c r="EK19" s="48">
        <f>VLOOKUP($A19,'[6]Updated (2)'!$A$2:$Q$54,7,FALSE)</f>
        <v>258428.72999999998</v>
      </c>
      <c r="EL19" s="48">
        <f>VLOOKUP($A19,'[6]Updated (2)'!$A$2:$Q$54,8,FALSE)</f>
        <v>279779</v>
      </c>
      <c r="EM19" s="48">
        <f>VLOOKUP($A19,'[6]Updated (2)'!$A$2:$Q$54,9,FALSE)</f>
        <v>0</v>
      </c>
      <c r="EN19" s="36">
        <f>VLOOKUP($A19,'[6]Updated (2)'!$A$2:$Q$54,10,FALSE)</f>
        <v>2762305</v>
      </c>
      <c r="EO19" s="36">
        <f>VLOOKUP($A19,'[6]Updated (2)'!$A$2:$Q$54,11,FALSE)</f>
        <v>443227.2</v>
      </c>
      <c r="EP19" s="36">
        <f>VLOOKUP($A19,'[6]Updated (2)'!$A$2:$Q$54,12,FALSE)</f>
        <v>484164.04</v>
      </c>
      <c r="EQ19" s="36">
        <f>VLOOKUP($A19,'[6]Updated (2)'!$A$2:$Q$54,13,FALSE)</f>
        <v>0</v>
      </c>
      <c r="ER19" s="48">
        <f>VLOOKUP($A19,'[6]Updated (2)'!$A$2:$Q$54,14,FALSE)</f>
        <v>2710475</v>
      </c>
      <c r="ES19" s="48">
        <f>VLOOKUP($A19,'[6]Updated (2)'!$A$2:$Q$54,15,FALSE)</f>
        <v>283948.34999999998</v>
      </c>
      <c r="ET19" s="48">
        <f>VLOOKUP($A19,'[6]Updated (2)'!$A$2:$Q$54,16,FALSE)</f>
        <v>713925.03</v>
      </c>
      <c r="EU19" s="48">
        <f>VLOOKUP($A19,'[6]Updated (2)'!$A$2:$Q$54,17,FALSE)</f>
        <v>0</v>
      </c>
      <c r="EV19" s="37">
        <f>VLOOKUP($A19,[7]Totals!$A19:$F70,3,FALSE)-SUM(EF19:EI19)</f>
        <v>37814920.29999996</v>
      </c>
      <c r="EW19" s="37">
        <f>VLOOKUP($A19,[7]Totals!$A19:$F70,4,FALSE)-SUM(EJ19:EM19)</f>
        <v>40709606.419999912</v>
      </c>
      <c r="EX19" s="37">
        <f>VLOOKUP($A19,[7]Totals!$A19:$F70,5,FALSE)-SUM(EN19:EQ19)</f>
        <v>43700646.049999997</v>
      </c>
      <c r="EY19" s="37">
        <f>VLOOKUP($A19,[7]Totals!$A19:$F70,6,FALSE)-SUM(ER19:EU19)</f>
        <v>46628098.800000012</v>
      </c>
      <c r="EZ19" s="52">
        <f t="shared" si="2"/>
        <v>18909.445641792368</v>
      </c>
      <c r="FA19" s="52">
        <f t="shared" si="3"/>
        <v>20457.705468506545</v>
      </c>
      <c r="FB19" s="52">
        <f t="shared" si="4"/>
        <v>21982.658629952315</v>
      </c>
      <c r="FC19" s="52">
        <f t="shared" si="5"/>
        <v>23535.518630311235</v>
      </c>
      <c r="FD19" s="37">
        <f>VLOOKUP($A19,[8]Totals!$A$2:$F$54,3)-SUM(EF19:EI19)</f>
        <v>37105174.779999979</v>
      </c>
      <c r="FE19" s="37">
        <f>VLOOKUP($A19,[8]Totals!$A$2:$F$54,4)-SUM(EJ19:EM19)</f>
        <v>39250248.529999904</v>
      </c>
      <c r="FF19" s="37">
        <f>VLOOKUP($A19,[8]Totals!$A$2:$F$54,5)-SUM(EN19:EQ19)</f>
        <v>43390341.700000003</v>
      </c>
      <c r="FG19" s="37">
        <f>VLOOKUP($A19,[8]Totals!$A$2:$F$54,6)-SUM(ER19:EU19)</f>
        <v>46249675.620000005</v>
      </c>
      <c r="FH19" s="52">
        <f t="shared" si="6"/>
        <v>18554.535616239697</v>
      </c>
      <c r="FI19" s="52">
        <f t="shared" si="7"/>
        <v>19724.337683548198</v>
      </c>
      <c r="FJ19" s="52">
        <f t="shared" si="8"/>
        <v>21826.56678202781</v>
      </c>
      <c r="FK19" s="52">
        <f t="shared" si="9"/>
        <v>23344.509645766666</v>
      </c>
      <c r="FL19" s="37">
        <f>VLOOKUP($A19,[9]Totals!$A$3:$F$54,3)-SUM(EF19:EI19)</f>
        <v>33786195.920000017</v>
      </c>
      <c r="FM19" s="37">
        <f>VLOOKUP($A19,[9]Totals!$A$3:$F$54,4)-SUM(EJ19:EM19)</f>
        <v>33174629.63999993</v>
      </c>
      <c r="FN19" s="37">
        <f>VLOOKUP($A19,[9]Totals!$A$3:$F$54,5)-SUM(EN19:EQ19)</f>
        <v>36634072.609999992</v>
      </c>
      <c r="FO19" s="37">
        <f>VLOOKUP($A19,[9]Totals!$A$3:$F$54,6)-SUM(ER19:EU19)</f>
        <v>38786283.420000061</v>
      </c>
      <c r="FP19" s="52">
        <f t="shared" si="10"/>
        <v>16894.87192155177</v>
      </c>
      <c r="FQ19" s="52">
        <f t="shared" si="11"/>
        <v>16671.170809170089</v>
      </c>
      <c r="FR19" s="52">
        <f t="shared" si="12"/>
        <v>18427.97270065796</v>
      </c>
      <c r="FS19" s="52">
        <f t="shared" si="13"/>
        <v>19577.364711939379</v>
      </c>
      <c r="FT19" s="37">
        <f>VLOOKUP($A19,[10]Calculations!$AF$3:$AJ$54,2,FALSE)-EI19</f>
        <v>7351345.5599999977</v>
      </c>
      <c r="FU19" s="37">
        <f>VLOOKUP($A19,[10]Calculations!$AF$3:$AJ$54,3,FALSE)-EM19</f>
        <v>6886542.0200000014</v>
      </c>
      <c r="FV19" s="37">
        <f>VLOOKUP($A19,[10]Calculations!$AF$3:$AJ$54,4,FALSE)-EQ19</f>
        <v>7685904.6500000022</v>
      </c>
      <c r="FW19" s="37">
        <f>VLOOKUP($A19,[10]Calculations!$AF$3:$AJ$54,5,FALSE)-EU19</f>
        <v>7228410.3255952401</v>
      </c>
      <c r="FX19" s="52">
        <f t="shared" si="14"/>
        <v>21308.247999999992</v>
      </c>
      <c r="FY19" s="52">
        <f t="shared" si="15"/>
        <v>19845.942420749285</v>
      </c>
      <c r="FZ19" s="52">
        <f t="shared" si="16"/>
        <v>22874.716220238101</v>
      </c>
      <c r="GA19" s="52">
        <f t="shared" si="17"/>
        <v>22874.716220238101</v>
      </c>
    </row>
    <row r="20" spans="1:183" ht="15.75" x14ac:dyDescent="0.25">
      <c r="A20" s="66" t="s">
        <v>262</v>
      </c>
      <c r="B20" s="66" t="s">
        <v>263</v>
      </c>
      <c r="C20" s="67">
        <v>3</v>
      </c>
      <c r="D20" s="68" t="s">
        <v>221</v>
      </c>
      <c r="E20">
        <v>4</v>
      </c>
      <c r="F20" s="27">
        <v>1872</v>
      </c>
      <c r="G20" s="27">
        <v>1770</v>
      </c>
      <c r="H20" s="27">
        <v>1829</v>
      </c>
      <c r="I20" s="27">
        <v>1813</v>
      </c>
      <c r="J20" s="23">
        <v>192</v>
      </c>
      <c r="K20" s="23">
        <v>121</v>
      </c>
      <c r="L20" s="23">
        <v>156</v>
      </c>
      <c r="M20" s="23">
        <v>174</v>
      </c>
      <c r="N20" s="27">
        <v>1680</v>
      </c>
      <c r="O20" s="27">
        <v>1649</v>
      </c>
      <c r="P20" s="27">
        <v>1673</v>
      </c>
      <c r="Q20" s="27">
        <v>1639</v>
      </c>
      <c r="R20" s="25">
        <f>VLOOKUP($A20,'ADM, LTADM'!$B:$L,2,FALSE)</f>
        <v>1835.14</v>
      </c>
      <c r="S20" s="25">
        <f>VLOOKUP($A20,'ADM, LTADM'!$B:$L,3,FALSE)</f>
        <v>1834.41</v>
      </c>
      <c r="T20" s="25">
        <f>VLOOKUP($A20,'ADM, LTADM'!$B:$L,4,FALSE)</f>
        <v>1773.7600000000002</v>
      </c>
      <c r="U20" s="25">
        <f>VLOOKUP($A20,'ADM, LTADM'!$B:$L,5,FALSE)</f>
        <v>1813.29</v>
      </c>
      <c r="V20" s="29">
        <f>VLOOKUP($A20,'ADM, LTADM'!$B:$L,7,FALSE)</f>
        <v>1853.9099999999999</v>
      </c>
      <c r="W20" s="29">
        <f>VLOOKUP($A20,'ADM, LTADM'!$B:$L,8,FALSE)</f>
        <v>1836.6599999999999</v>
      </c>
      <c r="X20" s="29">
        <f>VLOOKUP($A20,'ADM, LTADM'!$B:$L,9,FALSE)</f>
        <v>1808.3799999999999</v>
      </c>
      <c r="Y20" s="29">
        <f>VLOOKUP($A20,'ADM, LTADM'!$B:$L,10,FALSE)</f>
        <v>1799.65</v>
      </c>
      <c r="Z20" s="10">
        <v>1843.59</v>
      </c>
      <c r="AA20" s="10">
        <v>1840.94</v>
      </c>
      <c r="AB20" s="10">
        <v>1822.97</v>
      </c>
      <c r="AC20" s="10">
        <v>1791.4</v>
      </c>
      <c r="AD20" s="2">
        <v>0.43805572021339656</v>
      </c>
      <c r="AE20" s="2">
        <v>0.43063063063063062</v>
      </c>
      <c r="AF20" s="2">
        <v>0.4302812687013764</v>
      </c>
      <c r="AG20" s="2">
        <v>0.38596491228070173</v>
      </c>
      <c r="AH20" s="2">
        <f t="shared" si="0"/>
        <v>0.43298920651513456</v>
      </c>
      <c r="AI20" s="46">
        <f>VLOOKUP(A20,'[1]SU_SD IDEA 3-21'!$A:$B,2,FALSE)</f>
        <v>356</v>
      </c>
      <c r="AJ20" s="46">
        <f>VLOOKUP(A20,'[2]SU_SD IDEA 3-21'!$A:$B,2,FALSE)</f>
        <v>362</v>
      </c>
      <c r="AK20" s="46">
        <f>VLOOKUP(A20,'[3]SU_SD IDEA 3-21'!$A:$B,2,FALSE)</f>
        <v>360</v>
      </c>
      <c r="AL20" s="46">
        <f>VLOOKUP($A20,'[4]SU_SD IDEA 3-21'!$A:$B,2,FALSE)</f>
        <v>375</v>
      </c>
      <c r="AM20" s="22">
        <f t="shared" si="18"/>
        <v>0.1939906492147738</v>
      </c>
      <c r="AN20" s="22">
        <f t="shared" si="19"/>
        <v>0.19733865384510549</v>
      </c>
      <c r="AO20" s="22">
        <f t="shared" si="20"/>
        <v>0.20295868663178782</v>
      </c>
      <c r="AP20" s="22">
        <f t="shared" si="21"/>
        <v>0.20680641265324357</v>
      </c>
      <c r="AQ20" s="26">
        <v>9.4842916419679898E-3</v>
      </c>
      <c r="AR20" s="26">
        <v>1.0210210210210209E-2</v>
      </c>
      <c r="AS20" s="26">
        <v>1.0173548773189706E-2</v>
      </c>
      <c r="AT20" s="26">
        <v>8.4694494857834243E-3</v>
      </c>
      <c r="AU20" s="2">
        <v>0.56485355648535562</v>
      </c>
      <c r="AV20" s="2">
        <v>0.49227373068432673</v>
      </c>
      <c r="AW20" s="2">
        <v>0.46323529411764708</v>
      </c>
      <c r="AX20" s="2">
        <v>0.52108716026241797</v>
      </c>
      <c r="AY20" s="2">
        <v>0.502092050209205</v>
      </c>
      <c r="AZ20" s="2">
        <v>0.40969162995594716</v>
      </c>
      <c r="BA20" s="2">
        <v>0.22463768115942029</v>
      </c>
      <c r="BB20" s="2">
        <v>0.42710280373831777</v>
      </c>
      <c r="BC20" s="2" t="s">
        <v>222</v>
      </c>
      <c r="BD20" s="2" t="s">
        <v>222</v>
      </c>
      <c r="BE20" s="2" t="s">
        <v>222</v>
      </c>
      <c r="BF20" s="8"/>
      <c r="BG20" s="2" t="s">
        <v>222</v>
      </c>
      <c r="BH20" s="2" t="s">
        <v>222</v>
      </c>
      <c r="BI20" s="2" t="s">
        <v>222</v>
      </c>
      <c r="BJ20" s="8"/>
      <c r="BK20" s="31">
        <f>VLOOKUP($A20,[5]FY20!$W:$AF,7,FALSE)</f>
        <v>10.785714285714285</v>
      </c>
      <c r="BL20" s="31">
        <f>VLOOKUP($A20,[5]FY20!$W:$AF,8,FALSE)</f>
        <v>1.1089285714285713</v>
      </c>
      <c r="BM20" s="31">
        <f>VLOOKUP($A20,[5]FY20!$W:$AF,9,FALSE)</f>
        <v>2.1190476190476195</v>
      </c>
      <c r="BN20" s="31">
        <f>VLOOKUP($A20,[5]FY20!$W:$AF,10,FALSE)</f>
        <v>5.1845238095238093</v>
      </c>
      <c r="BO20" s="55">
        <f>VLOOKUP($A20,[5]FY21!$W:$AF,7,FALSE)</f>
        <v>10.154639175257731</v>
      </c>
      <c r="BP20" s="55">
        <f>VLOOKUP($A20,[5]FY21!$W:$AF,8,FALSE)</f>
        <v>0.90964220739842339</v>
      </c>
      <c r="BQ20" s="55">
        <f>VLOOKUP($A20,[5]FY21!$W:$AF,9,FALSE)</f>
        <v>2.1831412977562157</v>
      </c>
      <c r="BR20" s="55">
        <f>VLOOKUP($A20,[5]FY21!$W:$AF,10,FALSE)</f>
        <v>5.7507580351728329</v>
      </c>
      <c r="BS20" s="31">
        <f>VLOOKUP($A20,[5]FY22!$W:$AF,7,FALSE)</f>
        <v>10.068738792588167</v>
      </c>
      <c r="BT20" s="31">
        <f>VLOOKUP($A20,[5]FY22!$W:$AF,8,FALSE)</f>
        <v>0.89659294680215185</v>
      </c>
      <c r="BU20" s="31">
        <f>VLOOKUP($A20,[5]FY22!$W:$AF,9,FALSE)</f>
        <v>2.4686192468619246</v>
      </c>
      <c r="BV20" s="31">
        <f>VLOOKUP($A20,[5]FY22!$W:$AF,10,FALSE)</f>
        <v>5.855349671249253</v>
      </c>
      <c r="BW20" s="55">
        <f>VLOOKUP($A20,[5]FY23!$W:$AF,7,FALSE)</f>
        <v>10.506406345332522</v>
      </c>
      <c r="BX20" s="55">
        <f>VLOOKUP($A20,[5]FY23!$W:$AF,8,FALSE)</f>
        <v>0.79316656497864546</v>
      </c>
      <c r="BY20" s="55">
        <f>VLOOKUP($A20,[5]FY23!$W:$AF,9,FALSE)</f>
        <v>2.4405125076266017</v>
      </c>
      <c r="BZ20" s="55">
        <f>VLOOKUP($A20,[5]FY23!$W:$AF,10,FALSE)</f>
        <v>5.9548505186089074</v>
      </c>
      <c r="CA20" s="37">
        <f>VLOOKUP($A20,[5]FY20!$W:$AF,3,FALSE)</f>
        <v>54558.340673289189</v>
      </c>
      <c r="CB20" s="37">
        <f>VLOOKUP($A20,[5]FY20!$W:$AF,4,FALSE)</f>
        <v>84122.786366076223</v>
      </c>
      <c r="CC20" s="37">
        <f>VLOOKUP($A20,[5]FY20!$W:$AF,5,FALSE)</f>
        <v>54709.019943820211</v>
      </c>
      <c r="CD20" s="37">
        <f>VLOOKUP($A20,[5]FY20!$W:$AF,6,FALSE)</f>
        <v>39374.354075774972</v>
      </c>
      <c r="CE20" s="52">
        <f>VLOOKUP($A20,[5]FY21!$W:$AF,3,FALSE)</f>
        <v>51700.728575694244</v>
      </c>
      <c r="CF20" s="52">
        <f>VLOOKUP($A20,[5]FY21!$W:$AF,4,FALSE)</f>
        <v>94388.133333333331</v>
      </c>
      <c r="CG20" s="52">
        <f>VLOOKUP($A20,[5]FY21!$W:$AF,5,FALSE)</f>
        <v>55943.416666666664</v>
      </c>
      <c r="CH20" s="52">
        <f>VLOOKUP($A20,[5]FY21!$W:$AF,6,FALSE)</f>
        <v>43816.977749657279</v>
      </c>
      <c r="CI20" s="37">
        <f>VLOOKUP($A20,[5]FY22!$W:$AF,3,FALSE)</f>
        <v>56153.054318788949</v>
      </c>
      <c r="CJ20" s="37">
        <f>VLOOKUP($A20,[5]FY22!$W:$AF,4,FALSE)</f>
        <v>95371.066666666666</v>
      </c>
      <c r="CK20" s="37">
        <f>VLOOKUP($A20,[5]FY22!$W:$AF,5,FALSE)</f>
        <v>57087.336561743345</v>
      </c>
      <c r="CL20" s="37">
        <f>VLOOKUP($A20,[5]FY22!$W:$AF,6,FALSE)</f>
        <v>43976.133115557364</v>
      </c>
      <c r="CM20" s="52">
        <f>VLOOKUP($A20,[5]FY23!$W:$AF,3,FALSE)</f>
        <v>58429.059233449472</v>
      </c>
      <c r="CN20" s="52">
        <f>VLOOKUP($A20,[5]FY23!$W:$AF,4,FALSE)</f>
        <v>102577.61538461539</v>
      </c>
      <c r="CO20" s="52">
        <f>VLOOKUP($A20,[5]FY23!$W:$AF,5,FALSE)</f>
        <v>58730.05</v>
      </c>
      <c r="CP20" s="52">
        <f>VLOOKUP($A20,[5]FY23!$W:$AF,6,FALSE)</f>
        <v>47346.168032786896</v>
      </c>
      <c r="CQ20" s="5">
        <v>0.82899999999999996</v>
      </c>
      <c r="CR20" s="4">
        <v>0.85399999999999998</v>
      </c>
      <c r="CS20" s="4">
        <v>0.90800000000000003</v>
      </c>
      <c r="CT20" s="4">
        <v>0.85799999999999998</v>
      </c>
      <c r="CU20" s="4">
        <v>0.871</v>
      </c>
      <c r="CV20" s="4">
        <v>0.85299999999999998</v>
      </c>
      <c r="CW20" s="4">
        <v>0.86599999999999999</v>
      </c>
      <c r="CX20" s="4">
        <v>0.90800000000000003</v>
      </c>
      <c r="CY20" t="s">
        <v>223</v>
      </c>
      <c r="CZ20" t="s">
        <v>223</v>
      </c>
      <c r="DA20" t="s">
        <v>223</v>
      </c>
      <c r="DB20">
        <v>0</v>
      </c>
      <c r="DC20">
        <v>1</v>
      </c>
      <c r="DD20">
        <v>3</v>
      </c>
      <c r="DE20">
        <v>0</v>
      </c>
      <c r="DF20">
        <v>0</v>
      </c>
      <c r="DG20">
        <v>0</v>
      </c>
      <c r="DH20">
        <v>1</v>
      </c>
      <c r="DI20">
        <v>3</v>
      </c>
      <c r="DJ20">
        <v>0</v>
      </c>
      <c r="DK20">
        <v>0</v>
      </c>
      <c r="DL20">
        <v>0</v>
      </c>
      <c r="DM20">
        <v>1</v>
      </c>
      <c r="DN20">
        <v>3</v>
      </c>
      <c r="DO20">
        <v>0</v>
      </c>
      <c r="DP20">
        <v>0</v>
      </c>
      <c r="DQ20" s="5">
        <v>0</v>
      </c>
      <c r="DR20" s="5">
        <v>0.25</v>
      </c>
      <c r="DS20" s="5">
        <v>0.75</v>
      </c>
      <c r="DT20" s="5">
        <v>0</v>
      </c>
      <c r="DU20" s="5">
        <v>0</v>
      </c>
      <c r="DV20" s="5">
        <v>0</v>
      </c>
      <c r="DW20" s="5">
        <v>0.25</v>
      </c>
      <c r="DX20" s="5">
        <v>0.75</v>
      </c>
      <c r="DY20" s="5">
        <v>0</v>
      </c>
      <c r="DZ20" s="5">
        <v>0</v>
      </c>
      <c r="EA20" s="5">
        <v>0</v>
      </c>
      <c r="EB20" s="5">
        <v>0.25</v>
      </c>
      <c r="EC20" s="5">
        <v>0.75</v>
      </c>
      <c r="ED20" s="5">
        <v>0</v>
      </c>
      <c r="EE20" s="5">
        <v>0</v>
      </c>
      <c r="EF20" s="36">
        <f>VLOOKUP($A20,'[6]Updated (2)'!$A$2:$Q$54,2,FALSE)</f>
        <v>0</v>
      </c>
      <c r="EG20" s="36">
        <f>VLOOKUP($A20,'[6]Updated (2)'!$A$2:$Q$54,3,FALSE)</f>
        <v>0</v>
      </c>
      <c r="EH20" s="36">
        <f>VLOOKUP($A20,'[6]Updated (2)'!$A$2:$Q$54,4,FALSE)</f>
        <v>0</v>
      </c>
      <c r="EI20" s="36">
        <f>VLOOKUP($A20,'[6]Updated (2)'!$A$2:$Q$54,5,FALSE)</f>
        <v>0</v>
      </c>
      <c r="EJ20" s="48">
        <f>VLOOKUP($A20,'[6]Updated (2)'!$A$2:$Q$54,6,FALSE)</f>
        <v>0</v>
      </c>
      <c r="EK20" s="48">
        <f>VLOOKUP($A20,'[6]Updated (2)'!$A$2:$Q$54,7,FALSE)</f>
        <v>0</v>
      </c>
      <c r="EL20" s="48">
        <f>VLOOKUP($A20,'[6]Updated (2)'!$A$2:$Q$54,8,FALSE)</f>
        <v>0</v>
      </c>
      <c r="EM20" s="48">
        <f>VLOOKUP($A20,'[6]Updated (2)'!$A$2:$Q$54,9,FALSE)</f>
        <v>0</v>
      </c>
      <c r="EN20" s="36">
        <f>VLOOKUP($A20,'[6]Updated (2)'!$A$2:$Q$54,10,FALSE)</f>
        <v>0</v>
      </c>
      <c r="EO20" s="36">
        <f>VLOOKUP($A20,'[6]Updated (2)'!$A$2:$Q$54,11,FALSE)</f>
        <v>0</v>
      </c>
      <c r="EP20" s="36">
        <f>VLOOKUP($A20,'[6]Updated (2)'!$A$2:$Q$54,12,FALSE)</f>
        <v>0</v>
      </c>
      <c r="EQ20" s="36">
        <f>VLOOKUP($A20,'[6]Updated (2)'!$A$2:$Q$54,13,FALSE)</f>
        <v>0</v>
      </c>
      <c r="ER20" s="48">
        <f>VLOOKUP($A20,'[6]Updated (2)'!$A$2:$Q$54,14,FALSE)</f>
        <v>0</v>
      </c>
      <c r="ES20" s="48">
        <f>VLOOKUP($A20,'[6]Updated (2)'!$A$2:$Q$54,15,FALSE)</f>
        <v>0</v>
      </c>
      <c r="ET20" s="48">
        <f>VLOOKUP($A20,'[6]Updated (2)'!$A$2:$Q$54,16,FALSE)</f>
        <v>0</v>
      </c>
      <c r="EU20" s="48">
        <f>VLOOKUP($A20,'[6]Updated (2)'!$A$2:$Q$54,17,FALSE)</f>
        <v>0</v>
      </c>
      <c r="EV20" s="37">
        <f>VLOOKUP($A20,[7]Totals!$A20:$F71,3,FALSE)-SUM(EF20:EI20)</f>
        <v>40517911.029999919</v>
      </c>
      <c r="EW20" s="37">
        <f>VLOOKUP($A20,[7]Totals!$A20:$F71,4,FALSE)-SUM(EJ20:EM20)</f>
        <v>38444901.659999974</v>
      </c>
      <c r="EX20" s="37">
        <f>VLOOKUP($A20,[7]Totals!$A20:$F71,5,FALSE)-SUM(EN20:EQ20)</f>
        <v>43601804.289999969</v>
      </c>
      <c r="EY20" s="37">
        <f>VLOOKUP($A20,[7]Totals!$A20:$F71,6,FALSE)-SUM(ER20:EU20)</f>
        <v>49073312.569999993</v>
      </c>
      <c r="EZ20" s="52">
        <f t="shared" si="2"/>
        <v>21855.381884773222</v>
      </c>
      <c r="FA20" s="52">
        <f t="shared" si="3"/>
        <v>20931.964359217262</v>
      </c>
      <c r="FB20" s="52">
        <f t="shared" si="4"/>
        <v>24110.974623696333</v>
      </c>
      <c r="FC20" s="52">
        <f t="shared" si="5"/>
        <v>27268.253588197698</v>
      </c>
      <c r="FD20" s="37">
        <f>VLOOKUP($A20,[8]Totals!$A$2:$F$54,3)-SUM(EF20:EI20)</f>
        <v>36351453.639999934</v>
      </c>
      <c r="FE20" s="37">
        <f>VLOOKUP($A20,[8]Totals!$A$2:$F$54,4)-SUM(EJ20:EM20)</f>
        <v>36890811.739999987</v>
      </c>
      <c r="FF20" s="37">
        <f>VLOOKUP($A20,[8]Totals!$A$2:$F$54,5)-SUM(EN20:EQ20)</f>
        <v>39776570.879999988</v>
      </c>
      <c r="FG20" s="37">
        <f>VLOOKUP($A20,[8]Totals!$A$2:$F$54,6)-SUM(ER20:EU20)</f>
        <v>44002755.659999974</v>
      </c>
      <c r="FH20" s="52">
        <f t="shared" si="6"/>
        <v>19607.992642577006</v>
      </c>
      <c r="FI20" s="52">
        <f t="shared" si="7"/>
        <v>20085.814326004809</v>
      </c>
      <c r="FJ20" s="52">
        <f t="shared" si="8"/>
        <v>21995.692763689043</v>
      </c>
      <c r="FK20" s="52">
        <f t="shared" si="9"/>
        <v>24450.72967521461</v>
      </c>
      <c r="FL20" s="37">
        <f>VLOOKUP($A20,[9]Totals!$A$3:$F$54,3)-SUM(EF20:EI20)</f>
        <v>32617342.439999994</v>
      </c>
      <c r="FM20" s="37">
        <f>VLOOKUP($A20,[9]Totals!$A$3:$F$54,4)-SUM(EJ20:EM20)</f>
        <v>31744045.190000009</v>
      </c>
      <c r="FN20" s="37">
        <f>VLOOKUP($A20,[9]Totals!$A$3:$F$54,5)-SUM(EN20:EQ20)</f>
        <v>32871795.919999994</v>
      </c>
      <c r="FO20" s="37">
        <f>VLOOKUP($A20,[9]Totals!$A$3:$F$54,6)-SUM(ER20:EU20)</f>
        <v>36078484.979999997</v>
      </c>
      <c r="FP20" s="52">
        <f t="shared" si="10"/>
        <v>17593.811155881351</v>
      </c>
      <c r="FQ20" s="52">
        <f t="shared" si="11"/>
        <v>17283.571913146698</v>
      </c>
      <c r="FR20" s="52">
        <f t="shared" si="12"/>
        <v>18177.482564505244</v>
      </c>
      <c r="FS20" s="52">
        <f t="shared" si="13"/>
        <v>20047.500891840078</v>
      </c>
      <c r="FT20" s="37">
        <f>VLOOKUP($A20,[10]Calculations!$AF$3:$AJ$54,2,FALSE)-EI20</f>
        <v>8229675.2199999969</v>
      </c>
      <c r="FU20" s="37">
        <f>VLOOKUP($A20,[10]Calculations!$AF$3:$AJ$54,3,FALSE)-EM20</f>
        <v>7848763.5500000026</v>
      </c>
      <c r="FV20" s="37">
        <f>VLOOKUP($A20,[10]Calculations!$AF$3:$AJ$54,4,FALSE)-EQ20</f>
        <v>8175660.9799999995</v>
      </c>
      <c r="FW20" s="37">
        <f>VLOOKUP($A20,[10]Calculations!$AF$3:$AJ$54,5,FALSE)-EU20</f>
        <v>8516313.5208333321</v>
      </c>
      <c r="FX20" s="52">
        <f t="shared" si="14"/>
        <v>23117.065224719092</v>
      </c>
      <c r="FY20" s="52">
        <f t="shared" si="15"/>
        <v>21681.667265193377</v>
      </c>
      <c r="FZ20" s="52">
        <f t="shared" si="16"/>
        <v>22710.169388888888</v>
      </c>
      <c r="GA20" s="52">
        <f t="shared" si="17"/>
        <v>22710.169388888884</v>
      </c>
    </row>
    <row r="21" spans="1:183" ht="15.75" x14ac:dyDescent="0.25">
      <c r="A21" s="66" t="s">
        <v>264</v>
      </c>
      <c r="B21" s="66" t="s">
        <v>265</v>
      </c>
      <c r="C21" s="67">
        <v>3</v>
      </c>
      <c r="D21" s="68" t="s">
        <v>221</v>
      </c>
      <c r="E21">
        <v>4</v>
      </c>
      <c r="F21" s="27">
        <v>1812</v>
      </c>
      <c r="G21" s="27">
        <v>1710</v>
      </c>
      <c r="H21" s="27">
        <v>1779</v>
      </c>
      <c r="I21" s="27">
        <v>1790</v>
      </c>
      <c r="J21" s="23">
        <v>229</v>
      </c>
      <c r="K21" s="23">
        <v>165</v>
      </c>
      <c r="L21" s="23">
        <v>192</v>
      </c>
      <c r="M21" s="23">
        <v>228</v>
      </c>
      <c r="N21" s="27">
        <v>1583</v>
      </c>
      <c r="O21" s="27">
        <v>1544</v>
      </c>
      <c r="P21" s="27">
        <v>1586</v>
      </c>
      <c r="Q21" s="27">
        <v>1561</v>
      </c>
      <c r="R21" s="25">
        <f>VLOOKUP($A21,'ADM, LTADM'!$B:$L,2,FALSE)</f>
        <v>2026.55</v>
      </c>
      <c r="S21" s="25">
        <f>VLOOKUP($A21,'ADM, LTADM'!$B:$L,3,FALSE)</f>
        <v>2026.83</v>
      </c>
      <c r="T21" s="25">
        <f>VLOOKUP($A21,'ADM, LTADM'!$B:$L,4,FALSE)</f>
        <v>2007.06</v>
      </c>
      <c r="U21" s="25">
        <f>VLOOKUP($A21,'ADM, LTADM'!$B:$L,5,FALSE)</f>
        <v>2050.7600000000002</v>
      </c>
      <c r="V21" s="29">
        <f>VLOOKUP($A21,'ADM, LTADM'!$B:$L,7,FALSE)</f>
        <v>2021.94</v>
      </c>
      <c r="W21" s="29">
        <f>VLOOKUP($A21,'ADM, LTADM'!$B:$L,8,FALSE)</f>
        <v>2033.4</v>
      </c>
      <c r="X21" s="29">
        <f>VLOOKUP($A21,'ADM, LTADM'!$B:$L,9,FALSE)</f>
        <v>2021.4299999999998</v>
      </c>
      <c r="Y21" s="29">
        <f>VLOOKUP($A21,'ADM, LTADM'!$B:$L,10,FALSE)</f>
        <v>2030.84</v>
      </c>
      <c r="Z21" s="10">
        <v>1904.57</v>
      </c>
      <c r="AA21" s="10">
        <v>1938.48</v>
      </c>
      <c r="AB21" s="10">
        <v>1950.98</v>
      </c>
      <c r="AC21" s="10">
        <v>1945.71</v>
      </c>
      <c r="AD21" s="2">
        <v>0.23413705583756345</v>
      </c>
      <c r="AE21" s="2">
        <v>0.24334847501622323</v>
      </c>
      <c r="AF21" s="2">
        <v>0.19875000000000001</v>
      </c>
      <c r="AG21" s="2">
        <v>0.17443324937027707</v>
      </c>
      <c r="AH21" s="2">
        <f t="shared" si="0"/>
        <v>0.22541184361792888</v>
      </c>
      <c r="AI21" s="46">
        <f>VLOOKUP(A21,'[1]SU_SD IDEA 3-21'!$A:$B,2,FALSE)</f>
        <v>347</v>
      </c>
      <c r="AJ21" s="46">
        <f>VLOOKUP(A21,'[2]SU_SD IDEA 3-21'!$A:$B,2,FALSE)</f>
        <v>338</v>
      </c>
      <c r="AK21" s="46">
        <f>VLOOKUP(A21,'[3]SU_SD IDEA 3-21'!$A:$B,2,FALSE)</f>
        <v>343</v>
      </c>
      <c r="AL21" s="46">
        <f>VLOOKUP($A21,'[4]SU_SD IDEA 3-21'!$A:$B,2,FALSE)</f>
        <v>334</v>
      </c>
      <c r="AM21" s="22">
        <f t="shared" si="18"/>
        <v>0.17122696207840912</v>
      </c>
      <c r="AN21" s="22">
        <f t="shared" si="19"/>
        <v>0.16676287601821566</v>
      </c>
      <c r="AO21" s="22">
        <f t="shared" si="20"/>
        <v>0.17089673452711929</v>
      </c>
      <c r="AP21" s="22">
        <f t="shared" si="21"/>
        <v>0.16286644951140064</v>
      </c>
      <c r="AQ21" s="26" t="s">
        <v>222</v>
      </c>
      <c r="AR21" s="26" t="s">
        <v>222</v>
      </c>
      <c r="AS21" s="26" t="s">
        <v>222</v>
      </c>
      <c r="AT21" s="26" t="s">
        <v>222</v>
      </c>
      <c r="AU21" s="2">
        <v>0.52857142857142858</v>
      </c>
      <c r="AV21" s="2">
        <v>0.51781472684085506</v>
      </c>
      <c r="AW21" s="2">
        <v>0.54430379746835444</v>
      </c>
      <c r="AX21" s="2">
        <v>0.52500000000000002</v>
      </c>
      <c r="AY21" s="2">
        <v>0.44285714285714284</v>
      </c>
      <c r="AZ21" s="2">
        <v>0.39047619047619048</v>
      </c>
      <c r="BA21" s="2">
        <v>0.45569620253164556</v>
      </c>
      <c r="BB21" s="2">
        <v>0.42002176278563658</v>
      </c>
      <c r="BC21" s="2">
        <v>0.47741935483870968</v>
      </c>
      <c r="BD21" s="2">
        <v>0.50370370370370365</v>
      </c>
      <c r="BE21" s="2" t="s">
        <v>222</v>
      </c>
      <c r="BF21" s="8">
        <v>0.49</v>
      </c>
      <c r="BG21" s="2">
        <v>0.32051282051282054</v>
      </c>
      <c r="BH21" s="2">
        <v>0.47794117647058826</v>
      </c>
      <c r="BI21" s="2" t="s">
        <v>222</v>
      </c>
      <c r="BJ21" s="8">
        <v>0.39</v>
      </c>
      <c r="BK21" s="31">
        <f>VLOOKUP($A21,[5]FY20!$W:$AF,7,FALSE)</f>
        <v>9.0713834491471879</v>
      </c>
      <c r="BL21" s="31">
        <f>VLOOKUP($A21,[5]FY20!$W:$AF,8,FALSE)</f>
        <v>0.63171193935565384</v>
      </c>
      <c r="BM21" s="31">
        <f>VLOOKUP($A21,[5]FY20!$W:$AF,9,FALSE)</f>
        <v>1.7125710675931771</v>
      </c>
      <c r="BN21" s="31">
        <f>VLOOKUP($A21,[5]FY20!$W:$AF,10,FALSE)</f>
        <v>2.8092229943145925</v>
      </c>
      <c r="BO21" s="55">
        <f>VLOOKUP($A21,[5]FY21!$W:$AF,7,FALSE)</f>
        <v>9.3423948220064723</v>
      </c>
      <c r="BP21" s="55">
        <f>VLOOKUP($A21,[5]FY21!$W:$AF,8,FALSE)</f>
        <v>0.64724919093851141</v>
      </c>
      <c r="BQ21" s="55">
        <f>VLOOKUP($A21,[5]FY21!$W:$AF,9,FALSE)</f>
        <v>1.7650485436893202</v>
      </c>
      <c r="BR21" s="55">
        <f>VLOOKUP($A21,[5]FY21!$W:$AF,10,FALSE)</f>
        <v>2.8381877022653721</v>
      </c>
      <c r="BS21" s="31">
        <f>VLOOKUP($A21,[5]FY22!$W:$AF,7,FALSE)</f>
        <v>8.9161940768746071</v>
      </c>
      <c r="BT21" s="31">
        <f>VLOOKUP($A21,[5]FY22!$W:$AF,8,FALSE)</f>
        <v>0.81915563957151849</v>
      </c>
      <c r="BU21" s="31">
        <f>VLOOKUP($A21,[5]FY22!$W:$AF,9,FALSE)</f>
        <v>1.8115942028985508</v>
      </c>
      <c r="BV21" s="31">
        <f>VLOOKUP($A21,[5]FY22!$W:$AF,10,FALSE)</f>
        <v>2.9269061121613102</v>
      </c>
      <c r="BW21" s="55">
        <f>VLOOKUP($A21,[5]FY23!$W:$AF,7,FALSE)</f>
        <v>9.4212548015364934</v>
      </c>
      <c r="BX21" s="55">
        <f>VLOOKUP($A21,[5]FY23!$W:$AF,8,FALSE)</f>
        <v>0.82586427656850192</v>
      </c>
      <c r="BY21" s="55">
        <f>VLOOKUP($A21,[5]FY23!$W:$AF,9,FALSE)</f>
        <v>1.9366197183098586</v>
      </c>
      <c r="BZ21" s="55">
        <f>VLOOKUP($A21,[5]FY23!$W:$AF,10,FALSE)</f>
        <v>3.3399487836107555</v>
      </c>
      <c r="CA21" s="37">
        <f>VLOOKUP($A21,[5]FY20!$W:$AF,3,FALSE)</f>
        <v>61452.109331476327</v>
      </c>
      <c r="CB21" s="37">
        <f>VLOOKUP($A21,[5]FY20!$W:$AF,4,FALSE)</f>
        <v>102142.8</v>
      </c>
      <c r="CC21" s="37">
        <f>VLOOKUP($A21,[5]FY20!$W:$AF,5,FALSE)</f>
        <v>56528.997417926978</v>
      </c>
      <c r="CD21" s="37">
        <f>VLOOKUP($A21,[5]FY20!$W:$AF,6,FALSE)</f>
        <v>41163.621992354398</v>
      </c>
      <c r="CE21" s="52">
        <f>VLOOKUP($A21,[5]FY21!$W:$AF,3,FALSE)</f>
        <v>61551.544963281143</v>
      </c>
      <c r="CF21" s="52">
        <f>VLOOKUP($A21,[5]FY21!$W:$AF,4,FALSE)</f>
        <v>107669.4</v>
      </c>
      <c r="CG21" s="52">
        <f>VLOOKUP($A21,[5]FY21!$W:$AF,5,FALSE)</f>
        <v>56938.320498716537</v>
      </c>
      <c r="CH21" s="52">
        <f>VLOOKUP($A21,[5]FY21!$W:$AF,6,FALSE)</f>
        <v>43173.409350057016</v>
      </c>
      <c r="CI21" s="37">
        <f>VLOOKUP($A21,[5]FY22!$W:$AF,3,FALSE)</f>
        <v>89759.257950530038</v>
      </c>
      <c r="CJ21" s="37">
        <f>VLOOKUP($A21,[5]FY22!$W:$AF,4,FALSE)</f>
        <v>99099.153846153844</v>
      </c>
      <c r="CK21" s="37">
        <f>VLOOKUP($A21,[5]FY22!$W:$AF,5,FALSE)</f>
        <v>52131.895652173916</v>
      </c>
      <c r="CL21" s="37">
        <f>VLOOKUP($A21,[5]FY22!$W:$AF,6,FALSE)</f>
        <v>43565.037674919273</v>
      </c>
      <c r="CM21" s="52">
        <f>VLOOKUP($A21,[5]FY23!$W:$AF,3,FALSE)</f>
        <v>62702.90160369665</v>
      </c>
      <c r="CN21" s="52">
        <f>VLOOKUP($A21,[5]FY23!$W:$AF,4,FALSE)</f>
        <v>91014.651162790702</v>
      </c>
      <c r="CO21" s="52">
        <f>VLOOKUP($A21,[5]FY23!$W:$AF,5,FALSE)</f>
        <v>54785.388429752078</v>
      </c>
      <c r="CP21" s="52">
        <f>VLOOKUP($A21,[5]FY23!$W:$AF,6,FALSE)</f>
        <v>54075.464826528652</v>
      </c>
      <c r="CQ21" s="5">
        <v>0.96499999999999997</v>
      </c>
      <c r="CR21" s="4">
        <v>0.83299999999999996</v>
      </c>
      <c r="CS21" s="4">
        <v>0.97399999999999998</v>
      </c>
      <c r="CT21" s="4">
        <v>0.86299999999999999</v>
      </c>
      <c r="CU21" s="4">
        <v>0.86199999999999999</v>
      </c>
      <c r="CV21" s="4">
        <v>0.98199999999999998</v>
      </c>
      <c r="CW21" s="4">
        <v>0.88200000000000001</v>
      </c>
      <c r="CX21" s="4">
        <v>0.97399999999999998</v>
      </c>
      <c r="CY21" t="s">
        <v>223</v>
      </c>
      <c r="CZ21" t="s">
        <v>223</v>
      </c>
      <c r="DA21" t="s">
        <v>228</v>
      </c>
      <c r="DB21">
        <v>0</v>
      </c>
      <c r="DC21">
        <v>0</v>
      </c>
      <c r="DD21">
        <v>4</v>
      </c>
      <c r="DE21">
        <v>0</v>
      </c>
      <c r="DF21">
        <v>0</v>
      </c>
      <c r="DG21">
        <v>0</v>
      </c>
      <c r="DH21">
        <v>0</v>
      </c>
      <c r="DI21">
        <v>4</v>
      </c>
      <c r="DJ21">
        <v>0</v>
      </c>
      <c r="DK21">
        <v>0</v>
      </c>
      <c r="DL21">
        <v>0</v>
      </c>
      <c r="DM21">
        <v>2</v>
      </c>
      <c r="DN21">
        <v>2</v>
      </c>
      <c r="DO21">
        <v>0</v>
      </c>
      <c r="DP21">
        <v>0</v>
      </c>
      <c r="DQ21" s="5">
        <v>0</v>
      </c>
      <c r="DR21" s="5">
        <v>0</v>
      </c>
      <c r="DS21" s="5">
        <v>1</v>
      </c>
      <c r="DT21" s="5">
        <v>0</v>
      </c>
      <c r="DU21" s="5">
        <v>0</v>
      </c>
      <c r="DV21" s="5">
        <v>0</v>
      </c>
      <c r="DW21" s="5">
        <v>0</v>
      </c>
      <c r="DX21" s="5">
        <v>1</v>
      </c>
      <c r="DY21" s="5">
        <v>0</v>
      </c>
      <c r="DZ21" s="5">
        <v>0</v>
      </c>
      <c r="EA21" s="5">
        <v>0</v>
      </c>
      <c r="EB21" s="5">
        <v>0.5</v>
      </c>
      <c r="EC21" s="5">
        <v>0.5</v>
      </c>
      <c r="ED21" s="5">
        <v>0</v>
      </c>
      <c r="EE21" s="5">
        <v>0</v>
      </c>
      <c r="EF21" s="36">
        <f>VLOOKUP($A21,'[6]Updated (2)'!$A$2:$Q$54,2,FALSE)</f>
        <v>0</v>
      </c>
      <c r="EG21" s="36">
        <f>VLOOKUP($A21,'[6]Updated (2)'!$A$2:$Q$54,3,FALSE)</f>
        <v>0</v>
      </c>
      <c r="EH21" s="36">
        <f>VLOOKUP($A21,'[6]Updated (2)'!$A$2:$Q$54,4,FALSE)</f>
        <v>0</v>
      </c>
      <c r="EI21" s="36">
        <f>VLOOKUP($A21,'[6]Updated (2)'!$A$2:$Q$54,5,FALSE)</f>
        <v>0</v>
      </c>
      <c r="EJ21" s="48">
        <f>VLOOKUP($A21,'[6]Updated (2)'!$A$2:$Q$54,6,FALSE)</f>
        <v>0</v>
      </c>
      <c r="EK21" s="48">
        <f>VLOOKUP($A21,'[6]Updated (2)'!$A$2:$Q$54,7,FALSE)</f>
        <v>0</v>
      </c>
      <c r="EL21" s="48">
        <f>VLOOKUP($A21,'[6]Updated (2)'!$A$2:$Q$54,8,FALSE)</f>
        <v>0</v>
      </c>
      <c r="EM21" s="48">
        <f>VLOOKUP($A21,'[6]Updated (2)'!$A$2:$Q$54,9,FALSE)</f>
        <v>0</v>
      </c>
      <c r="EN21" s="36">
        <f>VLOOKUP($A21,'[6]Updated (2)'!$A$2:$Q$54,10,FALSE)</f>
        <v>0</v>
      </c>
      <c r="EO21" s="36">
        <f>VLOOKUP($A21,'[6]Updated (2)'!$A$2:$Q$54,11,FALSE)</f>
        <v>0</v>
      </c>
      <c r="EP21" s="36">
        <f>VLOOKUP($A21,'[6]Updated (2)'!$A$2:$Q$54,12,FALSE)</f>
        <v>0</v>
      </c>
      <c r="EQ21" s="36">
        <f>VLOOKUP($A21,'[6]Updated (2)'!$A$2:$Q$54,13,FALSE)</f>
        <v>0</v>
      </c>
      <c r="ER21" s="48">
        <f>VLOOKUP($A21,'[6]Updated (2)'!$A$2:$Q$54,14,FALSE)</f>
        <v>0</v>
      </c>
      <c r="ES21" s="48">
        <f>VLOOKUP($A21,'[6]Updated (2)'!$A$2:$Q$54,15,FALSE)</f>
        <v>0</v>
      </c>
      <c r="ET21" s="48">
        <f>VLOOKUP($A21,'[6]Updated (2)'!$A$2:$Q$54,16,FALSE)</f>
        <v>0</v>
      </c>
      <c r="EU21" s="48">
        <f>VLOOKUP($A21,'[6]Updated (2)'!$A$2:$Q$54,17,FALSE)</f>
        <v>0</v>
      </c>
      <c r="EV21" s="37">
        <f>VLOOKUP($A21,[7]Totals!$A21:$F72,3,FALSE)-SUM(EF21:EI21)</f>
        <v>37368840.280000016</v>
      </c>
      <c r="EW21" s="37">
        <f>VLOOKUP($A21,[7]Totals!$A21:$F72,4,FALSE)-SUM(EJ21:EM21)</f>
        <v>38361377.700000033</v>
      </c>
      <c r="EX21" s="37">
        <f>VLOOKUP($A21,[7]Totals!$A21:$F72,5,FALSE)-SUM(EN21:EQ21)</f>
        <v>38515697.960000016</v>
      </c>
      <c r="EY21" s="37">
        <f>VLOOKUP($A21,[7]Totals!$A21:$F72,6,FALSE)-SUM(ER21:EU21)</f>
        <v>44803173.209999956</v>
      </c>
      <c r="EZ21" s="52">
        <f t="shared" si="2"/>
        <v>18481.67615260592</v>
      </c>
      <c r="FA21" s="52">
        <f t="shared" si="3"/>
        <v>18865.632782531735</v>
      </c>
      <c r="FB21" s="52">
        <f t="shared" si="4"/>
        <v>19053.688705520359</v>
      </c>
      <c r="FC21" s="52">
        <f t="shared" si="5"/>
        <v>22061.399819778988</v>
      </c>
      <c r="FD21" s="37">
        <f>VLOOKUP($A21,[8]Totals!$A$2:$F$54,3)-SUM(EF21:EI21)</f>
        <v>35352037.960000038</v>
      </c>
      <c r="FE21" s="37">
        <f>VLOOKUP($A21,[8]Totals!$A$2:$F$54,4)-SUM(EJ21:EM21)</f>
        <v>36682688.500000015</v>
      </c>
      <c r="FF21" s="37">
        <f>VLOOKUP($A21,[8]Totals!$A$2:$F$54,5)-SUM(EN21:EQ21)</f>
        <v>37524916.060000025</v>
      </c>
      <c r="FG21" s="37">
        <f>VLOOKUP($A21,[8]Totals!$A$2:$F$54,6)-SUM(ER21:EU21)</f>
        <v>41681322.049999945</v>
      </c>
      <c r="FH21" s="52">
        <f t="shared" si="6"/>
        <v>17484.217118213219</v>
      </c>
      <c r="FI21" s="52">
        <f t="shared" si="7"/>
        <v>18040.074997541069</v>
      </c>
      <c r="FJ21" s="52">
        <f t="shared" si="8"/>
        <v>18563.549596078039</v>
      </c>
      <c r="FK21" s="52">
        <f t="shared" si="9"/>
        <v>20524.178197199162</v>
      </c>
      <c r="FL21" s="37">
        <f>VLOOKUP($A21,[9]Totals!$A$3:$F$54,3)-SUM(EF21:EI21)</f>
        <v>33987699.00000003</v>
      </c>
      <c r="FM21" s="37">
        <f>VLOOKUP($A21,[9]Totals!$A$3:$F$54,4)-SUM(EJ21:EM21)</f>
        <v>35141590.650000028</v>
      </c>
      <c r="FN21" s="37">
        <f>VLOOKUP($A21,[9]Totals!$A$3:$F$54,5)-SUM(EN21:EQ21)</f>
        <v>35561754.250000007</v>
      </c>
      <c r="FO21" s="37">
        <f>VLOOKUP($A21,[9]Totals!$A$3:$F$54,6)-SUM(ER21:EU21)</f>
        <v>38961898.039999992</v>
      </c>
      <c r="FP21" s="52">
        <f t="shared" si="10"/>
        <v>16809.449835306699</v>
      </c>
      <c r="FQ21" s="52">
        <f t="shared" si="11"/>
        <v>17282.182871053421</v>
      </c>
      <c r="FR21" s="52">
        <f t="shared" si="12"/>
        <v>17592.374828710374</v>
      </c>
      <c r="FS21" s="52">
        <f t="shared" si="13"/>
        <v>19185.114553583735</v>
      </c>
      <c r="FT21" s="37">
        <f>VLOOKUP($A21,[10]Calculations!$AF$3:$AJ$54,2,FALSE)-EI21</f>
        <v>6783662.5800000001</v>
      </c>
      <c r="FU21" s="37">
        <f>VLOOKUP($A21,[10]Calculations!$AF$3:$AJ$54,3,FALSE)-EM21</f>
        <v>7644579.5599999968</v>
      </c>
      <c r="FV21" s="37">
        <f>VLOOKUP($A21,[10]Calculations!$AF$3:$AJ$54,4,FALSE)-EQ21</f>
        <v>7561632.0900000008</v>
      </c>
      <c r="FW21" s="37">
        <f>VLOOKUP($A21,[10]Calculations!$AF$3:$AJ$54,5,FALSE)-EU21</f>
        <v>7363221.9185422752</v>
      </c>
      <c r="FX21" s="52">
        <f t="shared" si="14"/>
        <v>19549.459884726224</v>
      </c>
      <c r="FY21" s="52">
        <f t="shared" si="15"/>
        <v>22617.099289940819</v>
      </c>
      <c r="FZ21" s="52">
        <f t="shared" si="16"/>
        <v>22045.574606413997</v>
      </c>
      <c r="GA21" s="52">
        <f t="shared" si="17"/>
        <v>22045.574606413997</v>
      </c>
    </row>
    <row r="22" spans="1:183" ht="15.75" x14ac:dyDescent="0.25">
      <c r="A22" s="66" t="s">
        <v>266</v>
      </c>
      <c r="B22" s="66" t="s">
        <v>267</v>
      </c>
      <c r="C22" s="67">
        <v>4</v>
      </c>
      <c r="D22" s="68" t="s">
        <v>221</v>
      </c>
      <c r="E22">
        <v>4</v>
      </c>
      <c r="F22" s="27">
        <v>2717</v>
      </c>
      <c r="G22" s="27">
        <v>2601</v>
      </c>
      <c r="H22" s="27">
        <v>2753</v>
      </c>
      <c r="I22" s="27">
        <v>2651</v>
      </c>
      <c r="J22" s="23">
        <v>220</v>
      </c>
      <c r="K22" s="23">
        <v>165</v>
      </c>
      <c r="L22" s="23">
        <v>179</v>
      </c>
      <c r="M22" s="23">
        <v>232</v>
      </c>
      <c r="N22" s="27">
        <v>2497</v>
      </c>
      <c r="O22" s="27">
        <v>2436</v>
      </c>
      <c r="P22" s="27">
        <v>2574</v>
      </c>
      <c r="Q22" s="27">
        <v>2419</v>
      </c>
      <c r="R22" s="25">
        <f>VLOOKUP($A22,'ADM, LTADM'!$B:$L,2,FALSE)</f>
        <v>2532.12</v>
      </c>
      <c r="S22" s="25">
        <f>VLOOKUP($A22,'ADM, LTADM'!$B:$L,3,FALSE)</f>
        <v>2525.4900000000002</v>
      </c>
      <c r="T22" s="25">
        <f>VLOOKUP($A22,'ADM, LTADM'!$B:$L,4,FALSE)</f>
        <v>2397.31</v>
      </c>
      <c r="U22" s="25">
        <f>VLOOKUP($A22,'ADM, LTADM'!$B:$L,5,FALSE)</f>
        <v>2404.1400000000003</v>
      </c>
      <c r="V22" s="29">
        <f>VLOOKUP($A22,'ADM, LTADM'!$B:$L,7,FALSE)</f>
        <v>2565.42</v>
      </c>
      <c r="W22" s="29">
        <f>VLOOKUP($A22,'ADM, LTADM'!$B:$L,8,FALSE)</f>
        <v>2530.14</v>
      </c>
      <c r="X22" s="29">
        <f>VLOOKUP($A22,'ADM, LTADM'!$B:$L,9,FALSE)</f>
        <v>2468</v>
      </c>
      <c r="Y22" s="29">
        <f>VLOOKUP($A22,'ADM, LTADM'!$B:$L,10,FALSE)</f>
        <v>2404.5299999999997</v>
      </c>
      <c r="Z22" s="10">
        <v>2552.0300000000002</v>
      </c>
      <c r="AA22" s="10">
        <v>2569.89</v>
      </c>
      <c r="AB22" s="10">
        <v>2541.56</v>
      </c>
      <c r="AC22" s="10">
        <v>2487.37</v>
      </c>
      <c r="AD22" s="2">
        <v>0.37420634920634921</v>
      </c>
      <c r="AE22" s="2">
        <v>0.509255450431921</v>
      </c>
      <c r="AF22" s="2">
        <v>0.36447845348368907</v>
      </c>
      <c r="AG22" s="2">
        <v>0.30024610336341262</v>
      </c>
      <c r="AH22" s="2">
        <f t="shared" si="0"/>
        <v>0.41598008437398643</v>
      </c>
      <c r="AI22" s="46">
        <f>VLOOKUP(A22,'[1]SU_SD IDEA 3-21'!$A:$B,2,FALSE)</f>
        <v>607</v>
      </c>
      <c r="AJ22" s="46">
        <f>VLOOKUP(A22,'[2]SU_SD IDEA 3-21'!$A:$B,2,FALSE)</f>
        <v>569</v>
      </c>
      <c r="AK22" s="46">
        <f>VLOOKUP(A22,'[3]SU_SD IDEA 3-21'!$A:$B,2,FALSE)</f>
        <v>577</v>
      </c>
      <c r="AL22" s="46">
        <f>VLOOKUP($A22,'[4]SU_SD IDEA 3-21'!$A:$B,2,FALSE)</f>
        <v>566</v>
      </c>
      <c r="AM22" s="22">
        <f t="shared" si="18"/>
        <v>0.23972007645767185</v>
      </c>
      <c r="AN22" s="22">
        <f t="shared" si="19"/>
        <v>0.22530281252351028</v>
      </c>
      <c r="AO22" s="22">
        <f t="shared" si="20"/>
        <v>0.24068643604706944</v>
      </c>
      <c r="AP22" s="22">
        <f t="shared" si="21"/>
        <v>0.23542722137645891</v>
      </c>
      <c r="AQ22" s="26">
        <v>5.5555555555555558E-3</v>
      </c>
      <c r="AR22" s="26">
        <v>6.5816536404771702E-3</v>
      </c>
      <c r="AS22" s="26">
        <v>7.2492952074103903E-3</v>
      </c>
      <c r="AT22" s="26">
        <v>7.3831009023789989E-3</v>
      </c>
      <c r="AU22" s="2">
        <v>0.44186046511627908</v>
      </c>
      <c r="AV22" s="2">
        <v>0.4828897338403042</v>
      </c>
      <c r="AW22" s="2">
        <v>0.53424657534246578</v>
      </c>
      <c r="AX22" s="2">
        <v>0.47501982553528943</v>
      </c>
      <c r="AY22" s="2">
        <v>0.37137330754352033</v>
      </c>
      <c r="AZ22" s="2">
        <v>0.41176470588235292</v>
      </c>
      <c r="BA22" s="2">
        <v>0.32272727272727275</v>
      </c>
      <c r="BB22" s="2">
        <v>0.379746835443038</v>
      </c>
      <c r="BC22" s="2">
        <v>0.49704142011834318</v>
      </c>
      <c r="BD22" s="2" t="s">
        <v>222</v>
      </c>
      <c r="BE22" s="2" t="s">
        <v>222</v>
      </c>
      <c r="BF22" s="8"/>
      <c r="BG22" s="2" t="s">
        <v>222</v>
      </c>
      <c r="BH22" s="2" t="s">
        <v>222</v>
      </c>
      <c r="BI22" s="2" t="s">
        <v>222</v>
      </c>
      <c r="BJ22" s="8"/>
      <c r="BK22" s="31">
        <f>VLOOKUP($A22,[5]FY20!$W:$AF,7,FALSE)</f>
        <v>9.8798558269923902</v>
      </c>
      <c r="BL22" s="31">
        <f>VLOOKUP($A22,[5]FY20!$W:$AF,8,FALSE)</f>
        <v>1.1509811774128955</v>
      </c>
      <c r="BM22" s="31">
        <f>VLOOKUP($A22,[5]FY20!$W:$AF,9,FALSE)</f>
        <v>1.7781337605126151</v>
      </c>
      <c r="BN22" s="31">
        <f>VLOOKUP($A22,[5]FY20!$W:$AF,10,FALSE)</f>
        <v>3.1818181818181821</v>
      </c>
      <c r="BO22" s="55">
        <f>VLOOKUP($A22,[5]FY21!$W:$AF,7,FALSE)</f>
        <v>10.101395730706074</v>
      </c>
      <c r="BP22" s="55">
        <f>VLOOKUP($A22,[5]FY21!$W:$AF,8,FALSE)</f>
        <v>1.3793103448275861</v>
      </c>
      <c r="BQ22" s="55">
        <f>VLOOKUP($A22,[5]FY21!$W:$AF,9,FALSE)</f>
        <v>1.6420361247947455</v>
      </c>
      <c r="BR22" s="55">
        <f>VLOOKUP($A22,[5]FY21!$W:$AF,10,FALSE)</f>
        <v>3.5221674876847291</v>
      </c>
      <c r="BS22" s="31">
        <f>VLOOKUP($A22,[5]FY22!$W:$AF,7,FALSE)</f>
        <v>9.2727272727272716</v>
      </c>
      <c r="BT22" s="31">
        <f>VLOOKUP($A22,[5]FY22!$W:$AF,8,FALSE)</f>
        <v>1.2241647241647242</v>
      </c>
      <c r="BU22" s="31">
        <f>VLOOKUP($A22,[5]FY22!$W:$AF,9,FALSE)</f>
        <v>1.4693084693084693</v>
      </c>
      <c r="BV22" s="31">
        <f>VLOOKUP($A22,[5]FY22!$W:$AF,10,FALSE)</f>
        <v>4.2909867909867909</v>
      </c>
      <c r="BW22" s="55">
        <f>VLOOKUP($A22,[5]FY23!$W:$AF,7,FALSE)</f>
        <v>10.045886730053741</v>
      </c>
      <c r="BX22" s="55">
        <f>VLOOKUP($A22,[5]FY23!$W:$AF,8,FALSE)</f>
        <v>1.1161637040099215</v>
      </c>
      <c r="BY22" s="55">
        <f>VLOOKUP($A22,[5]FY23!$W:$AF,9,FALSE)</f>
        <v>1.6825134353038447</v>
      </c>
      <c r="BZ22" s="55">
        <f>VLOOKUP($A22,[5]FY23!$W:$AF,10,FALSE)</f>
        <v>5.1240181893344356</v>
      </c>
      <c r="CA22" s="37">
        <f>VLOOKUP($A22,[5]FY20!$W:$AF,3,FALSE)</f>
        <v>65023.640656668016</v>
      </c>
      <c r="CB22" s="37">
        <f>VLOOKUP($A22,[5]FY20!$W:$AF,4,FALSE)</f>
        <v>61210.25365344467</v>
      </c>
      <c r="CC22" s="37">
        <f>VLOOKUP($A22,[5]FY20!$W:$AF,5,FALSE)</f>
        <v>59894.499774774777</v>
      </c>
      <c r="CD22" s="37">
        <f>VLOOKUP($A22,[5]FY20!$W:$AF,6,FALSE)</f>
        <v>45591.811957205784</v>
      </c>
      <c r="CE22" s="52">
        <f>VLOOKUP($A22,[5]FY21!$W:$AF,3,FALSE)</f>
        <v>66341.008412240422</v>
      </c>
      <c r="CF22" s="52">
        <f>VLOOKUP($A22,[5]FY21!$W:$AF,4,FALSE)</f>
        <v>58912.025595238112</v>
      </c>
      <c r="CG22" s="52">
        <f>VLOOKUP($A22,[5]FY21!$W:$AF,5,FALSE)</f>
        <v>59630.596750000004</v>
      </c>
      <c r="CH22" s="52">
        <f>VLOOKUP($A22,[5]FY21!$W:$AF,6,FALSE)</f>
        <v>49470.820512820515</v>
      </c>
      <c r="CI22" s="37">
        <f>VLOOKUP($A22,[5]FY22!$W:$AF,3,FALSE)</f>
        <v>66359.014663985261</v>
      </c>
      <c r="CJ22" s="37">
        <f>VLOOKUP($A22,[5]FY22!$W:$AF,4,FALSE)</f>
        <v>58455.188828943188</v>
      </c>
      <c r="CK22" s="37">
        <f>VLOOKUP($A22,[5]FY22!$W:$AF,5,FALSE)</f>
        <v>62930.694870438914</v>
      </c>
      <c r="CL22" s="37">
        <f>VLOOKUP($A22,[5]FY22!$W:$AF,6,FALSE)</f>
        <v>53179.156088727912</v>
      </c>
      <c r="CM22" s="52">
        <f>VLOOKUP($A22,[5]FY23!$W:$AF,3,FALSE)</f>
        <v>68754.209003744705</v>
      </c>
      <c r="CN22" s="52">
        <f>VLOOKUP($A22,[5]FY23!$W:$AF,4,FALSE)</f>
        <v>74139.037037037036</v>
      </c>
      <c r="CO22" s="52">
        <f>VLOOKUP($A22,[5]FY23!$W:$AF,5,FALSE)</f>
        <v>66580.619901719896</v>
      </c>
      <c r="CP22" s="52">
        <f>VLOOKUP($A22,[5]FY23!$W:$AF,6,FALSE)</f>
        <v>55496.73812020976</v>
      </c>
      <c r="CQ22" s="5">
        <v>0.81299999999999994</v>
      </c>
      <c r="CR22" s="4">
        <v>0.90200000000000002</v>
      </c>
      <c r="CS22" s="4">
        <v>0.82499999999999996</v>
      </c>
      <c r="CT22" s="4">
        <v>0.83199999999999996</v>
      </c>
      <c r="CU22" s="4">
        <v>0.86899999999999999</v>
      </c>
      <c r="CV22" s="4">
        <v>0.89900000000000002</v>
      </c>
      <c r="CW22" s="4">
        <v>0.78500000000000003</v>
      </c>
      <c r="CX22" s="4">
        <v>0.84899999999999998</v>
      </c>
      <c r="CY22" t="s">
        <v>223</v>
      </c>
      <c r="CZ22" t="s">
        <v>223</v>
      </c>
      <c r="DA22" t="s">
        <v>223</v>
      </c>
      <c r="DB22">
        <v>0</v>
      </c>
      <c r="DC22">
        <v>0</v>
      </c>
      <c r="DD22">
        <v>4</v>
      </c>
      <c r="DE22">
        <v>0</v>
      </c>
      <c r="DF22">
        <v>0</v>
      </c>
      <c r="DG22">
        <v>0</v>
      </c>
      <c r="DH22">
        <v>0</v>
      </c>
      <c r="DI22">
        <v>4</v>
      </c>
      <c r="DJ22">
        <v>0</v>
      </c>
      <c r="DK22">
        <v>0</v>
      </c>
      <c r="DL22">
        <v>0</v>
      </c>
      <c r="DM22">
        <v>1</v>
      </c>
      <c r="DN22">
        <v>2</v>
      </c>
      <c r="DO22">
        <v>1</v>
      </c>
      <c r="DP22">
        <v>0</v>
      </c>
      <c r="DQ22" s="5">
        <v>0</v>
      </c>
      <c r="DR22" s="5">
        <v>0</v>
      </c>
      <c r="DS22" s="5">
        <v>1</v>
      </c>
      <c r="DT22" s="5">
        <v>0</v>
      </c>
      <c r="DU22" s="5">
        <v>0</v>
      </c>
      <c r="DV22" s="5">
        <v>0</v>
      </c>
      <c r="DW22" s="5">
        <v>0</v>
      </c>
      <c r="DX22" s="5">
        <v>1</v>
      </c>
      <c r="DY22" s="5">
        <v>0</v>
      </c>
      <c r="DZ22" s="5">
        <v>0</v>
      </c>
      <c r="EA22" s="5">
        <v>0</v>
      </c>
      <c r="EB22" s="5">
        <v>0.25</v>
      </c>
      <c r="EC22" s="5">
        <v>0.5</v>
      </c>
      <c r="ED22" s="5">
        <v>0.25</v>
      </c>
      <c r="EE22" s="5">
        <v>0</v>
      </c>
      <c r="EF22" s="36">
        <f>VLOOKUP($A22,'[6]Updated (2)'!$A$2:$Q$54,2,FALSE)</f>
        <v>0</v>
      </c>
      <c r="EG22" s="36">
        <f>VLOOKUP($A22,'[6]Updated (2)'!$A$2:$Q$54,3,FALSE)</f>
        <v>0</v>
      </c>
      <c r="EH22" s="36">
        <f>VLOOKUP($A22,'[6]Updated (2)'!$A$2:$Q$54,4,FALSE)</f>
        <v>0</v>
      </c>
      <c r="EI22" s="36">
        <f>VLOOKUP($A22,'[6]Updated (2)'!$A$2:$Q$54,5,FALSE)</f>
        <v>0</v>
      </c>
      <c r="EJ22" s="48">
        <f>VLOOKUP($A22,'[6]Updated (2)'!$A$2:$Q$54,6,FALSE)</f>
        <v>0</v>
      </c>
      <c r="EK22" s="48">
        <f>VLOOKUP($A22,'[6]Updated (2)'!$A$2:$Q$54,7,FALSE)</f>
        <v>0</v>
      </c>
      <c r="EL22" s="48">
        <f>VLOOKUP($A22,'[6]Updated (2)'!$A$2:$Q$54,8,FALSE)</f>
        <v>0</v>
      </c>
      <c r="EM22" s="48">
        <f>VLOOKUP($A22,'[6]Updated (2)'!$A$2:$Q$54,9,FALSE)</f>
        <v>0</v>
      </c>
      <c r="EN22" s="36">
        <f>VLOOKUP($A22,'[6]Updated (2)'!$A$2:$Q$54,10,FALSE)</f>
        <v>0</v>
      </c>
      <c r="EO22" s="36">
        <f>VLOOKUP($A22,'[6]Updated (2)'!$A$2:$Q$54,11,FALSE)</f>
        <v>0</v>
      </c>
      <c r="EP22" s="36">
        <f>VLOOKUP($A22,'[6]Updated (2)'!$A$2:$Q$54,12,FALSE)</f>
        <v>0</v>
      </c>
      <c r="EQ22" s="36">
        <f>VLOOKUP($A22,'[6]Updated (2)'!$A$2:$Q$54,13,FALSE)</f>
        <v>0</v>
      </c>
      <c r="ER22" s="48">
        <f>VLOOKUP($A22,'[6]Updated (2)'!$A$2:$Q$54,14,FALSE)</f>
        <v>0</v>
      </c>
      <c r="ES22" s="48">
        <f>VLOOKUP($A22,'[6]Updated (2)'!$A$2:$Q$54,15,FALSE)</f>
        <v>0</v>
      </c>
      <c r="ET22" s="48">
        <f>VLOOKUP($A22,'[6]Updated (2)'!$A$2:$Q$54,16,FALSE)</f>
        <v>0</v>
      </c>
      <c r="EU22" s="48">
        <f>VLOOKUP($A22,'[6]Updated (2)'!$A$2:$Q$54,17,FALSE)</f>
        <v>0</v>
      </c>
      <c r="EV22" s="37">
        <f>VLOOKUP($A22,[7]Totals!$A22:$F73,3,FALSE)-SUM(EF22:EI22)</f>
        <v>55501310.009999968</v>
      </c>
      <c r="EW22" s="37">
        <f>VLOOKUP($A22,[7]Totals!$A22:$F73,4,FALSE)-SUM(EJ22:EM22)</f>
        <v>59904507.56000004</v>
      </c>
      <c r="EX22" s="37">
        <f>VLOOKUP($A22,[7]Totals!$A22:$F73,5,FALSE)-SUM(EN22:EQ22)</f>
        <v>61172189.410000004</v>
      </c>
      <c r="EY22" s="37">
        <f>VLOOKUP($A22,[7]Totals!$A22:$F73,6,FALSE)-SUM(ER22:EU22)</f>
        <v>66092393.88000007</v>
      </c>
      <c r="EZ22" s="52">
        <f t="shared" si="2"/>
        <v>21634.395151671059</v>
      </c>
      <c r="FA22" s="52">
        <f t="shared" si="3"/>
        <v>23676.360817978468</v>
      </c>
      <c r="FB22" s="52">
        <f t="shared" si="4"/>
        <v>24786.138334683958</v>
      </c>
      <c r="FC22" s="52">
        <f t="shared" si="5"/>
        <v>27486.616461429083</v>
      </c>
      <c r="FD22" s="37">
        <f>VLOOKUP($A22,[8]Totals!$A$2:$F$54,3)-SUM(EF22:EI22)</f>
        <v>52129542.169999942</v>
      </c>
      <c r="FE22" s="37">
        <f>VLOOKUP($A22,[8]Totals!$A$2:$F$54,4)-SUM(EJ22:EM22)</f>
        <v>53817791.500000067</v>
      </c>
      <c r="FF22" s="37">
        <f>VLOOKUP($A22,[8]Totals!$A$2:$F$54,5)-SUM(EN22:EQ22)</f>
        <v>58598013.399999984</v>
      </c>
      <c r="FG22" s="37">
        <f>VLOOKUP($A22,[8]Totals!$A$2:$F$54,6)-SUM(ER22:EU22)</f>
        <v>63407394.470000036</v>
      </c>
      <c r="FH22" s="52">
        <f t="shared" si="6"/>
        <v>20320.080988687991</v>
      </c>
      <c r="FI22" s="52">
        <f t="shared" si="7"/>
        <v>21270.677314298842</v>
      </c>
      <c r="FJ22" s="52">
        <f t="shared" si="8"/>
        <v>23743.117260940027</v>
      </c>
      <c r="FK22" s="52">
        <f t="shared" si="9"/>
        <v>26369.974369211464</v>
      </c>
      <c r="FL22" s="37">
        <f>VLOOKUP($A22,[9]Totals!$A$3:$F$54,3)-SUM(EF22:EI22)</f>
        <v>48741184.639999956</v>
      </c>
      <c r="FM22" s="37">
        <f>VLOOKUP($A22,[9]Totals!$A$3:$F$54,4)-SUM(EJ22:EM22)</f>
        <v>49760274.890000068</v>
      </c>
      <c r="FN22" s="37">
        <f>VLOOKUP($A22,[9]Totals!$A$3:$F$54,5)-SUM(EN22:EQ22)</f>
        <v>52109353.490000039</v>
      </c>
      <c r="FO22" s="37">
        <f>VLOOKUP($A22,[9]Totals!$A$3:$F$54,6)-SUM(ER22:EU22)</f>
        <v>54222235.800000064</v>
      </c>
      <c r="FP22" s="52">
        <f t="shared" si="10"/>
        <v>18999.300169173061</v>
      </c>
      <c r="FQ22" s="52">
        <f t="shared" si="11"/>
        <v>19667.004549155412</v>
      </c>
      <c r="FR22" s="52">
        <f t="shared" si="12"/>
        <v>21114.000603727731</v>
      </c>
      <c r="FS22" s="52">
        <f t="shared" si="13"/>
        <v>22550.035058826496</v>
      </c>
      <c r="FT22" s="37">
        <f>VLOOKUP($A22,[10]Calculations!$AF$3:$AJ$54,2,FALSE)-EI22</f>
        <v>13111572.170000002</v>
      </c>
      <c r="FU22" s="37">
        <f>VLOOKUP($A22,[10]Calculations!$AF$3:$AJ$54,3,FALSE)-EM22</f>
        <v>13048703.090000002</v>
      </c>
      <c r="FV22" s="37">
        <f>VLOOKUP($A22,[10]Calculations!$AF$3:$AJ$54,4,FALSE)-EQ22</f>
        <v>12559705.389999993</v>
      </c>
      <c r="FW22" s="37">
        <f>VLOOKUP($A22,[10]Calculations!$AF$3:$AJ$54,5,FALSE)-EU22</f>
        <v>12320265.599202765</v>
      </c>
      <c r="FX22" s="52">
        <f t="shared" si="14"/>
        <v>21600.613130148275</v>
      </c>
      <c r="FY22" s="52">
        <f t="shared" si="15"/>
        <v>22932.694358523728</v>
      </c>
      <c r="FZ22" s="52">
        <f t="shared" si="16"/>
        <v>21767.253708838809</v>
      </c>
      <c r="GA22" s="52">
        <f t="shared" si="17"/>
        <v>21767.253708838809</v>
      </c>
    </row>
    <row r="23" spans="1:183" ht="15.75" x14ac:dyDescent="0.25">
      <c r="A23" s="66" t="s">
        <v>268</v>
      </c>
      <c r="B23" s="66" t="s">
        <v>269</v>
      </c>
      <c r="C23" s="67">
        <v>1</v>
      </c>
      <c r="D23" s="68" t="s">
        <v>221</v>
      </c>
      <c r="E23">
        <v>4</v>
      </c>
      <c r="F23" s="27">
        <v>656</v>
      </c>
      <c r="G23" s="27">
        <v>594</v>
      </c>
      <c r="H23" s="27">
        <v>562</v>
      </c>
      <c r="I23" s="27">
        <v>525</v>
      </c>
      <c r="J23" s="23">
        <v>87</v>
      </c>
      <c r="K23" s="23">
        <v>64</v>
      </c>
      <c r="L23" s="23">
        <v>23</v>
      </c>
      <c r="M23" s="23">
        <v>23</v>
      </c>
      <c r="N23" s="27">
        <v>569</v>
      </c>
      <c r="O23" s="27">
        <v>530</v>
      </c>
      <c r="P23" s="27">
        <v>539</v>
      </c>
      <c r="Q23" s="27">
        <v>502</v>
      </c>
      <c r="R23" s="25">
        <f>VLOOKUP($A23,'ADM, LTADM'!$B:$L,2,FALSE)</f>
        <v>944.93000000000006</v>
      </c>
      <c r="S23" s="25">
        <f>VLOOKUP($A23,'ADM, LTADM'!$B:$L,3,FALSE)</f>
        <v>944.69</v>
      </c>
      <c r="T23" s="25">
        <f>VLOOKUP($A23,'ADM, LTADM'!$B:$L,4,FALSE)</f>
        <v>873.99999999999989</v>
      </c>
      <c r="U23" s="25">
        <f>VLOOKUP($A23,'ADM, LTADM'!$B:$L,5,FALSE)</f>
        <v>854.67</v>
      </c>
      <c r="V23" s="29">
        <f>VLOOKUP($A23,'ADM, LTADM'!$B:$L,7,FALSE)</f>
        <v>926.51</v>
      </c>
      <c r="W23" s="29">
        <f>VLOOKUP($A23,'ADM, LTADM'!$B:$L,8,FALSE)</f>
        <v>947.02</v>
      </c>
      <c r="X23" s="29">
        <f>VLOOKUP($A23,'ADM, LTADM'!$B:$L,9,FALSE)</f>
        <v>909.66000000000008</v>
      </c>
      <c r="Y23" s="29">
        <f>VLOOKUP($A23,'ADM, LTADM'!$B:$L,10,FALSE)</f>
        <v>865.4</v>
      </c>
      <c r="Z23" s="10">
        <v>952.25</v>
      </c>
      <c r="AA23" s="10">
        <v>944.45</v>
      </c>
      <c r="AB23" s="10">
        <v>952.5</v>
      </c>
      <c r="AC23" s="10">
        <v>939.78</v>
      </c>
      <c r="AD23" s="2">
        <v>0.40900562851782363</v>
      </c>
      <c r="AE23" s="2">
        <v>0.40845070422535212</v>
      </c>
      <c r="AF23" s="2">
        <v>0.36590038314176243</v>
      </c>
      <c r="AG23" s="2">
        <v>0.38170974155069581</v>
      </c>
      <c r="AH23" s="2">
        <f t="shared" si="0"/>
        <v>0.39445223862831275</v>
      </c>
      <c r="AI23" s="46">
        <f>VLOOKUP(A23,'[1]SU_SD IDEA 3-21'!$A:$B,2,FALSE)</f>
        <v>164</v>
      </c>
      <c r="AJ23" s="46">
        <f>VLOOKUP(A23,'[2]SU_SD IDEA 3-21'!$A:$B,2,FALSE)</f>
        <v>161</v>
      </c>
      <c r="AK23" s="46">
        <f>VLOOKUP(A23,'[3]SU_SD IDEA 3-21'!$A:$B,2,FALSE)</f>
        <v>183</v>
      </c>
      <c r="AL23" s="46">
        <f>VLOOKUP($A23,'[4]SU_SD IDEA 3-21'!$A:$B,2,FALSE)</f>
        <v>159</v>
      </c>
      <c r="AM23" s="22">
        <f t="shared" si="18"/>
        <v>0.17355782968050543</v>
      </c>
      <c r="AN23" s="22">
        <f t="shared" si="19"/>
        <v>0.17042627740316929</v>
      </c>
      <c r="AO23" s="22">
        <f t="shared" si="20"/>
        <v>0.2093821510297483</v>
      </c>
      <c r="AP23" s="22">
        <f t="shared" si="21"/>
        <v>0.18603671592544491</v>
      </c>
      <c r="AQ23" s="26">
        <v>0</v>
      </c>
      <c r="AR23" s="26">
        <v>0</v>
      </c>
      <c r="AS23" s="26" t="s">
        <v>222</v>
      </c>
      <c r="AT23" s="26" t="s">
        <v>222</v>
      </c>
      <c r="AU23" s="2">
        <v>0.45283018867924529</v>
      </c>
      <c r="AV23" s="2">
        <v>0.58974358974358976</v>
      </c>
      <c r="AW23" s="2" t="s">
        <v>222</v>
      </c>
      <c r="AX23" s="2">
        <v>0.51086956521739135</v>
      </c>
      <c r="AY23" s="2">
        <v>0.41509433962264153</v>
      </c>
      <c r="AZ23" s="2">
        <v>0.45512820512820512</v>
      </c>
      <c r="BA23" s="2" t="s">
        <v>222</v>
      </c>
      <c r="BB23" s="2">
        <v>0.43206521739130432</v>
      </c>
      <c r="BC23" s="2">
        <v>0.52873563218390807</v>
      </c>
      <c r="BD23" s="2">
        <v>0.49180327868852458</v>
      </c>
      <c r="BE23" s="2" t="s">
        <v>222</v>
      </c>
      <c r="BF23" s="8">
        <v>0.52</v>
      </c>
      <c r="BG23" s="2">
        <v>0.33620689655172414</v>
      </c>
      <c r="BH23" s="2">
        <v>0.49180327868852458</v>
      </c>
      <c r="BI23" s="2" t="s">
        <v>222</v>
      </c>
      <c r="BJ23" s="8">
        <v>0.39</v>
      </c>
      <c r="BK23" s="31">
        <f>VLOOKUP($A23,[5]FY20!$W:$AF,7,FALSE)</f>
        <v>11.0896309314587</v>
      </c>
      <c r="BL23" s="31">
        <f>VLOOKUP($A23,[5]FY20!$W:$AF,8,FALSE)</f>
        <v>1.2302284710017575</v>
      </c>
      <c r="BM23" s="31">
        <f>VLOOKUP($A23,[5]FY20!$W:$AF,9,FALSE)</f>
        <v>2.7416520210896307</v>
      </c>
      <c r="BN23" s="31">
        <f>VLOOKUP($A23,[5]FY20!$W:$AF,10,FALSE)</f>
        <v>8.0492091388400713</v>
      </c>
      <c r="BO23" s="55">
        <f>VLOOKUP($A23,[5]FY21!$W:$AF,7,FALSE)</f>
        <v>11.132075471698114</v>
      </c>
      <c r="BP23" s="55">
        <f>VLOOKUP($A23,[5]FY21!$W:$AF,8,FALSE)</f>
        <v>1.3207547169811322</v>
      </c>
      <c r="BQ23" s="55">
        <f>VLOOKUP($A23,[5]FY21!$W:$AF,9,FALSE)</f>
        <v>2.9471698113207543</v>
      </c>
      <c r="BR23" s="55">
        <f>VLOOKUP($A23,[5]FY21!$W:$AF,10,FALSE)</f>
        <v>8.2396226415094329</v>
      </c>
      <c r="BS23" s="31">
        <f>VLOOKUP($A23,[5]FY22!$W:$AF,7,FALSE)</f>
        <v>10.797773654916512</v>
      </c>
      <c r="BT23" s="31">
        <f>VLOOKUP($A23,[5]FY22!$W:$AF,8,FALSE)</f>
        <v>1.2987012987012987</v>
      </c>
      <c r="BU23" s="31">
        <f>VLOOKUP($A23,[5]FY22!$W:$AF,9,FALSE)</f>
        <v>3.2504638218923931</v>
      </c>
      <c r="BV23" s="31">
        <f>VLOOKUP($A23,[5]FY22!$W:$AF,10,FALSE)</f>
        <v>9.4063079777365495</v>
      </c>
      <c r="BW23" s="55">
        <f>VLOOKUP($A23,[5]FY23!$W:$AF,7,FALSE)</f>
        <v>11.115537848605578</v>
      </c>
      <c r="BX23" s="55">
        <f>VLOOKUP($A23,[5]FY23!$W:$AF,8,FALSE)</f>
        <v>1.593625498007968</v>
      </c>
      <c r="BY23" s="55">
        <f>VLOOKUP($A23,[5]FY23!$W:$AF,9,FALSE)</f>
        <v>3.4462151394422311</v>
      </c>
      <c r="BZ23" s="55">
        <f>VLOOKUP($A23,[5]FY23!$W:$AF,10,FALSE)</f>
        <v>8.9442231075697212</v>
      </c>
      <c r="CA23" s="37">
        <f>VLOOKUP($A23,[5]FY20!$W:$AF,3,FALSE)</f>
        <v>55138.775118858954</v>
      </c>
      <c r="CB23" s="37">
        <f>VLOOKUP($A23,[5]FY20!$W:$AF,4,FALSE)</f>
        <v>97940.28571428571</v>
      </c>
      <c r="CC23" s="37">
        <f>VLOOKUP($A23,[5]FY20!$W:$AF,5,FALSE)</f>
        <v>49722.60256410257</v>
      </c>
      <c r="CD23" s="37">
        <f>VLOOKUP($A23,[5]FY20!$W:$AF,6,FALSE)</f>
        <v>39695.798471615715</v>
      </c>
      <c r="CE23" s="52">
        <f>VLOOKUP($A23,[5]FY21!$W:$AF,3,FALSE)</f>
        <v>55602.338983050846</v>
      </c>
      <c r="CF23" s="52">
        <f>VLOOKUP($A23,[5]FY21!$W:$AF,4,FALSE)</f>
        <v>100567.71428571429</v>
      </c>
      <c r="CG23" s="52">
        <f>VLOOKUP($A23,[5]FY21!$W:$AF,5,FALSE)</f>
        <v>52221.446862996163</v>
      </c>
      <c r="CH23" s="52">
        <f>VLOOKUP($A23,[5]FY21!$W:$AF,6,FALSE)</f>
        <v>43699.267231509046</v>
      </c>
      <c r="CI23" s="37">
        <f>VLOOKUP($A23,[5]FY22!$W:$AF,3,FALSE)</f>
        <v>56319.690721649487</v>
      </c>
      <c r="CJ23" s="37">
        <f>VLOOKUP($A23,[5]FY22!$W:$AF,4,FALSE)</f>
        <v>102724.42857142857</v>
      </c>
      <c r="CK23" s="37">
        <f>VLOOKUP($A23,[5]FY22!$W:$AF,5,FALSE)</f>
        <v>54941.324200913245</v>
      </c>
      <c r="CL23" s="37">
        <f>VLOOKUP($A23,[5]FY22!$W:$AF,6,FALSE)</f>
        <v>45036.035502958577</v>
      </c>
      <c r="CM23" s="52">
        <f>VLOOKUP($A23,[5]FY23!$W:$AF,3,FALSE)</f>
        <v>58176.577060931893</v>
      </c>
      <c r="CN23" s="52">
        <f>VLOOKUP($A23,[5]FY23!$W:$AF,4,FALSE)</f>
        <v>101975.625</v>
      </c>
      <c r="CO23" s="52">
        <f>VLOOKUP($A23,[5]FY23!$W:$AF,5,FALSE)</f>
        <v>55518.959537572249</v>
      </c>
      <c r="CP23" s="52">
        <f>VLOOKUP($A23,[5]FY23!$W:$AF,6,FALSE)</f>
        <v>49484.164810690425</v>
      </c>
      <c r="CQ23" s="5" t="s">
        <v>222</v>
      </c>
      <c r="CR23" s="4" t="s">
        <v>222</v>
      </c>
      <c r="CS23" s="4" t="s">
        <v>222</v>
      </c>
      <c r="CT23" s="4" t="s">
        <v>222</v>
      </c>
      <c r="CU23" s="4" t="s">
        <v>222</v>
      </c>
      <c r="CV23" s="4" t="s">
        <v>222</v>
      </c>
      <c r="CW23" s="4" t="s">
        <v>222</v>
      </c>
      <c r="CX23" s="4" t="s">
        <v>222</v>
      </c>
      <c r="CY23" t="s">
        <v>223</v>
      </c>
      <c r="CZ23" t="s">
        <v>223</v>
      </c>
      <c r="DA23" t="s">
        <v>223</v>
      </c>
      <c r="DB23">
        <v>0</v>
      </c>
      <c r="DC23">
        <v>1</v>
      </c>
      <c r="DD23">
        <v>1</v>
      </c>
      <c r="DE23">
        <v>0</v>
      </c>
      <c r="DF23">
        <v>2</v>
      </c>
      <c r="DG23">
        <v>0</v>
      </c>
      <c r="DH23">
        <v>0</v>
      </c>
      <c r="DI23">
        <v>2</v>
      </c>
      <c r="DJ23">
        <v>0</v>
      </c>
      <c r="DK23">
        <v>2</v>
      </c>
      <c r="DL23">
        <v>0</v>
      </c>
      <c r="DM23">
        <v>0</v>
      </c>
      <c r="DN23">
        <v>1</v>
      </c>
      <c r="DO23">
        <v>0</v>
      </c>
      <c r="DP23">
        <v>0</v>
      </c>
      <c r="DQ23" s="5">
        <v>0</v>
      </c>
      <c r="DR23" s="5">
        <v>0.25</v>
      </c>
      <c r="DS23" s="5">
        <v>0.25</v>
      </c>
      <c r="DT23" s="5">
        <v>0</v>
      </c>
      <c r="DU23" s="5">
        <v>0.5</v>
      </c>
      <c r="DV23" s="5">
        <v>0</v>
      </c>
      <c r="DW23" s="5">
        <v>0</v>
      </c>
      <c r="DX23" s="5">
        <v>0.5</v>
      </c>
      <c r="DY23" s="5">
        <v>0</v>
      </c>
      <c r="DZ23" s="5">
        <v>0.5</v>
      </c>
      <c r="EA23" s="5">
        <v>0</v>
      </c>
      <c r="EB23" s="5">
        <v>0</v>
      </c>
      <c r="EC23" s="5">
        <v>0.25</v>
      </c>
      <c r="ED23" s="5">
        <v>0</v>
      </c>
      <c r="EE23" s="5">
        <v>0</v>
      </c>
      <c r="EF23" s="36">
        <f>VLOOKUP($A23,'[6]Updated (2)'!$A$2:$Q$54,2,FALSE)</f>
        <v>0</v>
      </c>
      <c r="EG23" s="36">
        <f>VLOOKUP($A23,'[6]Updated (2)'!$A$2:$Q$54,3,FALSE)</f>
        <v>0</v>
      </c>
      <c r="EH23" s="36">
        <f>VLOOKUP($A23,'[6]Updated (2)'!$A$2:$Q$54,4,FALSE)</f>
        <v>0</v>
      </c>
      <c r="EI23" s="36">
        <f>VLOOKUP($A23,'[6]Updated (2)'!$A$2:$Q$54,5,FALSE)</f>
        <v>0</v>
      </c>
      <c r="EJ23" s="48">
        <f>VLOOKUP($A23,'[6]Updated (2)'!$A$2:$Q$54,6,FALSE)</f>
        <v>0</v>
      </c>
      <c r="EK23" s="48">
        <f>VLOOKUP($A23,'[6]Updated (2)'!$A$2:$Q$54,7,FALSE)</f>
        <v>0</v>
      </c>
      <c r="EL23" s="48">
        <f>VLOOKUP($A23,'[6]Updated (2)'!$A$2:$Q$54,8,FALSE)</f>
        <v>0</v>
      </c>
      <c r="EM23" s="48">
        <f>VLOOKUP($A23,'[6]Updated (2)'!$A$2:$Q$54,9,FALSE)</f>
        <v>0</v>
      </c>
      <c r="EN23" s="36">
        <f>VLOOKUP($A23,'[6]Updated (2)'!$A$2:$Q$54,10,FALSE)</f>
        <v>0</v>
      </c>
      <c r="EO23" s="36">
        <f>VLOOKUP($A23,'[6]Updated (2)'!$A$2:$Q$54,11,FALSE)</f>
        <v>0</v>
      </c>
      <c r="EP23" s="36">
        <f>VLOOKUP($A23,'[6]Updated (2)'!$A$2:$Q$54,12,FALSE)</f>
        <v>0</v>
      </c>
      <c r="EQ23" s="36">
        <f>VLOOKUP($A23,'[6]Updated (2)'!$A$2:$Q$54,13,FALSE)</f>
        <v>0</v>
      </c>
      <c r="ER23" s="48">
        <f>VLOOKUP($A23,'[6]Updated (2)'!$A$2:$Q$54,14,FALSE)</f>
        <v>0</v>
      </c>
      <c r="ES23" s="48">
        <f>VLOOKUP($A23,'[6]Updated (2)'!$A$2:$Q$54,15,FALSE)</f>
        <v>0</v>
      </c>
      <c r="ET23" s="48">
        <f>VLOOKUP($A23,'[6]Updated (2)'!$A$2:$Q$54,16,FALSE)</f>
        <v>0</v>
      </c>
      <c r="EU23" s="48">
        <f>VLOOKUP($A23,'[6]Updated (2)'!$A$2:$Q$54,17,FALSE)</f>
        <v>0</v>
      </c>
      <c r="EV23" s="37">
        <f>VLOOKUP($A23,[7]Totals!$A23:$F74,3,FALSE)-SUM(EF23:EI23)</f>
        <v>23276374.859999985</v>
      </c>
      <c r="EW23" s="37">
        <f>VLOOKUP($A23,[7]Totals!$A23:$F74,4,FALSE)-SUM(EJ23:EM23)</f>
        <v>22588162.320000023</v>
      </c>
      <c r="EX23" s="37">
        <f>VLOOKUP($A23,[7]Totals!$A23:$F74,5,FALSE)-SUM(EN23:EQ23)</f>
        <v>23969895.470000006</v>
      </c>
      <c r="EY23" s="37">
        <f>VLOOKUP($A23,[7]Totals!$A23:$F74,6,FALSE)-SUM(ER23:EU23)</f>
        <v>24761149.279999986</v>
      </c>
      <c r="EZ23" s="52">
        <f t="shared" si="2"/>
        <v>25122.637489071876</v>
      </c>
      <c r="FA23" s="52">
        <f t="shared" si="3"/>
        <v>23851.832400582905</v>
      </c>
      <c r="FB23" s="52">
        <f t="shared" si="4"/>
        <v>26350.389673064667</v>
      </c>
      <c r="FC23" s="52">
        <f t="shared" si="5"/>
        <v>28612.37494800091</v>
      </c>
      <c r="FD23" s="37">
        <f>VLOOKUP($A23,[8]Totals!$A$2:$F$54,3)-SUM(EF23:EI23)</f>
        <v>23063906.399999984</v>
      </c>
      <c r="FE23" s="37">
        <f>VLOOKUP($A23,[8]Totals!$A$2:$F$54,4)-SUM(EJ23:EM23)</f>
        <v>16189599.32</v>
      </c>
      <c r="FF23" s="37">
        <f>VLOOKUP($A23,[8]Totals!$A$2:$F$54,5)-SUM(EN23:EQ23)</f>
        <v>23104052.650000002</v>
      </c>
      <c r="FG23" s="37">
        <f>VLOOKUP($A23,[8]Totals!$A$2:$F$54,6)-SUM(ER23:EU23)</f>
        <v>24399534.399999984</v>
      </c>
      <c r="FH23" s="52">
        <f t="shared" si="6"/>
        <v>24893.31620813589</v>
      </c>
      <c r="FI23" s="52">
        <f t="shared" si="7"/>
        <v>17095.308779117655</v>
      </c>
      <c r="FJ23" s="52">
        <f t="shared" si="8"/>
        <v>25398.55841743069</v>
      </c>
      <c r="FK23" s="52">
        <f t="shared" si="9"/>
        <v>28194.51629304366</v>
      </c>
      <c r="FL23" s="37">
        <f>VLOOKUP($A23,[9]Totals!$A$3:$F$54,3)-SUM(EF23:EI23)</f>
        <v>22028446.07</v>
      </c>
      <c r="FM23" s="37">
        <f>VLOOKUP($A23,[9]Totals!$A$3:$F$54,4)-SUM(EJ23:EM23)</f>
        <v>14923473.539999997</v>
      </c>
      <c r="FN23" s="37">
        <f>VLOOKUP($A23,[9]Totals!$A$3:$F$54,5)-SUM(EN23:EQ23)</f>
        <v>21228035.629999999</v>
      </c>
      <c r="FO23" s="37">
        <f>VLOOKUP($A23,[9]Totals!$A$3:$F$54,6)-SUM(ER23:EU23)</f>
        <v>22328516.159999963</v>
      </c>
      <c r="FP23" s="52">
        <f t="shared" si="10"/>
        <v>23775.724028882581</v>
      </c>
      <c r="FQ23" s="52">
        <f t="shared" si="11"/>
        <v>15758.350974636225</v>
      </c>
      <c r="FR23" s="52">
        <f t="shared" si="12"/>
        <v>23336.230712573924</v>
      </c>
      <c r="FS23" s="52">
        <f t="shared" si="13"/>
        <v>25801.382204760761</v>
      </c>
      <c r="FT23" s="37">
        <f>VLOOKUP($A23,[10]Calculations!$AF$3:$AJ$54,2,FALSE)-EI23</f>
        <v>5844251.040000001</v>
      </c>
      <c r="FU23" s="37">
        <f>VLOOKUP($A23,[10]Calculations!$AF$3:$AJ$54,3,FALSE)-EM23</f>
        <v>2349398.34</v>
      </c>
      <c r="FV23" s="37">
        <f>VLOOKUP($A23,[10]Calculations!$AF$3:$AJ$54,4,FALSE)-EQ23</f>
        <v>6179521.2599999979</v>
      </c>
      <c r="FW23" s="37">
        <f>VLOOKUP($A23,[10]Calculations!$AF$3:$AJ$54,5,FALSE)-EU23</f>
        <v>5369092.2422950799</v>
      </c>
      <c r="FX23" s="52">
        <f t="shared" si="14"/>
        <v>35635.677073170737</v>
      </c>
      <c r="FY23" s="52">
        <f t="shared" si="15"/>
        <v>14592.536273291924</v>
      </c>
      <c r="FZ23" s="52">
        <f t="shared" si="16"/>
        <v>33767.875737704904</v>
      </c>
      <c r="GA23" s="52">
        <f t="shared" si="17"/>
        <v>33767.875737704904</v>
      </c>
    </row>
    <row r="24" spans="1:183" ht="15.75" x14ac:dyDescent="0.25">
      <c r="A24" s="66" t="s">
        <v>270</v>
      </c>
      <c r="B24" s="66" t="s">
        <v>271</v>
      </c>
      <c r="C24" s="67">
        <v>3</v>
      </c>
      <c r="D24" s="68" t="s">
        <v>272</v>
      </c>
      <c r="E24">
        <v>7</v>
      </c>
      <c r="F24" s="27">
        <v>1876</v>
      </c>
      <c r="G24" s="27">
        <v>1737</v>
      </c>
      <c r="H24" s="27">
        <v>1717</v>
      </c>
      <c r="I24" s="27">
        <v>1704</v>
      </c>
      <c r="J24" s="23">
        <v>197</v>
      </c>
      <c r="K24" s="23">
        <v>124</v>
      </c>
      <c r="L24" s="23">
        <v>127</v>
      </c>
      <c r="M24" s="23">
        <v>175</v>
      </c>
      <c r="N24" s="27">
        <v>1679</v>
      </c>
      <c r="O24" s="27">
        <v>1613</v>
      </c>
      <c r="P24" s="27">
        <v>1590</v>
      </c>
      <c r="Q24" s="27">
        <v>1529</v>
      </c>
      <c r="R24" s="25">
        <f>VLOOKUP($A24,'ADM, LTADM'!$B:$L,2,FALSE)</f>
        <v>1770.48</v>
      </c>
      <c r="S24" s="25">
        <f>VLOOKUP($A24,'ADM, LTADM'!$B:$L,3,FALSE)</f>
        <v>1816.6499999999999</v>
      </c>
      <c r="T24" s="25">
        <f>VLOOKUP($A24,'ADM, LTADM'!$B:$L,4,FALSE)</f>
        <v>1687.75</v>
      </c>
      <c r="U24" s="25">
        <f>VLOOKUP($A24,'ADM, LTADM'!$B:$L,5,FALSE)</f>
        <v>1739.5099999999998</v>
      </c>
      <c r="V24" s="29">
        <f>VLOOKUP($A24,'ADM, LTADM'!$B:$L,7,FALSE)</f>
        <v>1765.48</v>
      </c>
      <c r="W24" s="29">
        <f>VLOOKUP($A24,'ADM, LTADM'!$B:$L,8,FALSE)</f>
        <v>1803.4699999999998</v>
      </c>
      <c r="X24" s="29">
        <f>VLOOKUP($A24,'ADM, LTADM'!$B:$L,9,FALSE)</f>
        <v>1755.22</v>
      </c>
      <c r="Y24" s="29">
        <f>VLOOKUP($A24,'ADM, LTADM'!$B:$L,10,FALSE)</f>
        <v>1721.54</v>
      </c>
      <c r="Z24" s="10">
        <v>1777.78</v>
      </c>
      <c r="AA24" s="10">
        <v>1770.32</v>
      </c>
      <c r="AB24" s="10">
        <v>1810.37</v>
      </c>
      <c r="AC24" s="10">
        <v>1774.02</v>
      </c>
      <c r="AD24" s="2">
        <v>0.46345811051693403</v>
      </c>
      <c r="AE24" s="2">
        <v>0.42492012779552718</v>
      </c>
      <c r="AF24" s="2">
        <v>0.40379746835443037</v>
      </c>
      <c r="AG24" s="2">
        <v>0.33829236739974128</v>
      </c>
      <c r="AH24" s="2">
        <f t="shared" si="0"/>
        <v>0.43072523555563053</v>
      </c>
      <c r="AI24" s="46">
        <f>VLOOKUP(A24,'[1]SU_SD IDEA 3-21'!$A:$B,2,FALSE)</f>
        <v>325</v>
      </c>
      <c r="AJ24" s="46">
        <f>VLOOKUP(A24,'[2]SU_SD IDEA 3-21'!$A:$B,2,FALSE)</f>
        <v>334</v>
      </c>
      <c r="AK24" s="46">
        <f>VLOOKUP(A24,'[3]SU_SD IDEA 3-21'!$A:$B,2,FALSE)</f>
        <v>336</v>
      </c>
      <c r="AL24" s="46">
        <f>VLOOKUP($A24,'[4]SU_SD IDEA 3-21'!$A:$B,2,FALSE)</f>
        <v>323</v>
      </c>
      <c r="AM24" s="22">
        <f t="shared" si="18"/>
        <v>0.18356603858840539</v>
      </c>
      <c r="AN24" s="22">
        <f t="shared" si="19"/>
        <v>0.18385489775135552</v>
      </c>
      <c r="AO24" s="22">
        <f t="shared" si="20"/>
        <v>0.19908161753814249</v>
      </c>
      <c r="AP24" s="22">
        <f t="shared" si="21"/>
        <v>0.18568447436347019</v>
      </c>
      <c r="AQ24" s="26" t="s">
        <v>222</v>
      </c>
      <c r="AR24" s="26" t="s">
        <v>222</v>
      </c>
      <c r="AS24" s="26" t="s">
        <v>222</v>
      </c>
      <c r="AT24" s="26" t="s">
        <v>222</v>
      </c>
      <c r="AU24" s="2">
        <v>0.4425</v>
      </c>
      <c r="AV24" s="2">
        <v>0.4631578947368421</v>
      </c>
      <c r="AW24" s="2">
        <v>0.43795620437956206</v>
      </c>
      <c r="AX24" s="2">
        <v>0.45038167938931295</v>
      </c>
      <c r="AY24" s="2">
        <v>0.44</v>
      </c>
      <c r="AZ24" s="2">
        <v>0.34120734908136485</v>
      </c>
      <c r="BA24" s="2">
        <v>0.18978102189781021</v>
      </c>
      <c r="BB24" s="2">
        <v>0.36165577342047928</v>
      </c>
      <c r="BC24" s="2">
        <v>0.33858267716535434</v>
      </c>
      <c r="BD24" s="2">
        <v>0.37959183673469388</v>
      </c>
      <c r="BE24" s="2" t="s">
        <v>222</v>
      </c>
      <c r="BF24" s="8">
        <v>0.37</v>
      </c>
      <c r="BG24" s="2">
        <v>0.26771653543307089</v>
      </c>
      <c r="BH24" s="2">
        <v>0.21544715447154472</v>
      </c>
      <c r="BI24" s="2" t="s">
        <v>222</v>
      </c>
      <c r="BJ24" s="8">
        <v>0.23</v>
      </c>
      <c r="BK24" s="31">
        <f>VLOOKUP($A24,[5]FY20!$W:$AF,7,FALSE)</f>
        <v>10.503871351995237</v>
      </c>
      <c r="BL24" s="31">
        <f>VLOOKUP($A24,[5]FY20!$W:$AF,8,FALSE)</f>
        <v>1.1316259678379987</v>
      </c>
      <c r="BM24" s="31">
        <f>VLOOKUP($A24,[5]FY20!$W:$AF,9,FALSE)</f>
        <v>2.8129839189994041</v>
      </c>
      <c r="BN24" s="31">
        <f>VLOOKUP($A24,[5]FY20!$W:$AF,10,FALSE)</f>
        <v>4.268016676593211</v>
      </c>
      <c r="BO24" s="55">
        <f>VLOOKUP($A24,[5]FY21!$W:$AF,7,FALSE)</f>
        <v>10.332362058276503</v>
      </c>
      <c r="BP24" s="55">
        <f>VLOOKUP($A24,[5]FY21!$W:$AF,8,FALSE)</f>
        <v>1.2938623682579049</v>
      </c>
      <c r="BQ24" s="55">
        <f>VLOOKUP($A24,[5]FY21!$W:$AF,9,FALSE)</f>
        <v>2.4977681339119644</v>
      </c>
      <c r="BR24" s="55">
        <f>VLOOKUP($A24,[5]FY21!$W:$AF,10,FALSE)</f>
        <v>4.527278363298203</v>
      </c>
      <c r="BS24" s="31">
        <f>VLOOKUP($A24,[5]FY22!$W:$AF,7,FALSE)</f>
        <v>11.295597484276728</v>
      </c>
      <c r="BT24" s="31">
        <f>VLOOKUP($A24,[5]FY22!$W:$AF,8,FALSE)</f>
        <v>1.4358490566037738</v>
      </c>
      <c r="BU24" s="31">
        <f>VLOOKUP($A24,[5]FY22!$W:$AF,9,FALSE)</f>
        <v>2.9937106918239</v>
      </c>
      <c r="BV24" s="31">
        <f>VLOOKUP($A24,[5]FY22!$W:$AF,10,FALSE)</f>
        <v>5.1251572327044022</v>
      </c>
      <c r="BW24" s="55">
        <f>VLOOKUP($A24,[5]FY23!$W:$AF,7,FALSE)</f>
        <v>11.809025506867235</v>
      </c>
      <c r="BX24" s="55">
        <f>VLOOKUP($A24,[5]FY23!$W:$AF,8,FALSE)</f>
        <v>1.7069980379332896</v>
      </c>
      <c r="BY24" s="55">
        <f>VLOOKUP($A24,[5]FY23!$W:$AF,9,FALSE)</f>
        <v>3.425768476128189</v>
      </c>
      <c r="BZ24" s="55">
        <f>VLOOKUP($A24,[5]FY23!$W:$AF,10,FALSE)</f>
        <v>5.0601700457815566</v>
      </c>
      <c r="CA24" s="37">
        <f>VLOOKUP($A24,[5]FY20!$W:$AF,3,FALSE)</f>
        <v>52463.987468813779</v>
      </c>
      <c r="CB24" s="37">
        <f>VLOOKUP($A24,[5]FY20!$W:$AF,4,FALSE)</f>
        <v>82707.538947368419</v>
      </c>
      <c r="CC24" s="37">
        <f>VLOOKUP($A24,[5]FY20!$W:$AF,5,FALSE)</f>
        <v>44069.369468558129</v>
      </c>
      <c r="CD24" s="37">
        <f>VLOOKUP($A24,[5]FY20!$W:$AF,6,FALSE)</f>
        <v>37376.142897013669</v>
      </c>
      <c r="CE24" s="52">
        <f>VLOOKUP($A24,[5]FY21!$W:$AF,3,FALSE)</f>
        <v>53435.968822939976</v>
      </c>
      <c r="CF24" s="52">
        <f>VLOOKUP($A24,[5]FY21!$W:$AF,4,FALSE)</f>
        <v>79921.370388116891</v>
      </c>
      <c r="CG24" s="52">
        <f>VLOOKUP($A24,[5]FY21!$W:$AF,5,FALSE)</f>
        <v>50396.758420412538</v>
      </c>
      <c r="CH24" s="52">
        <f>VLOOKUP($A24,[5]FY21!$W:$AF,6,FALSE)</f>
        <v>39485.518657993824</v>
      </c>
      <c r="CI24" s="37">
        <f>VLOOKUP($A24,[5]FY22!$W:$AF,3,FALSE)</f>
        <v>55597.79510022272</v>
      </c>
      <c r="CJ24" s="37">
        <f>VLOOKUP($A24,[5]FY22!$W:$AF,4,FALSE)</f>
        <v>79319.010074463411</v>
      </c>
      <c r="CK24" s="37">
        <f>VLOOKUP($A24,[5]FY22!$W:$AF,5,FALSE)</f>
        <v>50862.499999999993</v>
      </c>
      <c r="CL24" s="37">
        <f>VLOOKUP($A24,[5]FY22!$W:$AF,6,FALSE)</f>
        <v>36579.212173272797</v>
      </c>
      <c r="CM24" s="52">
        <f>VLOOKUP($A24,[5]FY23!$W:$AF,3,FALSE)</f>
        <v>56805.089720868396</v>
      </c>
      <c r="CN24" s="52">
        <f>VLOOKUP($A24,[5]FY23!$W:$AF,4,FALSE)</f>
        <v>79674.482758620681</v>
      </c>
      <c r="CO24" s="52">
        <f>VLOOKUP($A24,[5]FY23!$W:$AF,5,FALSE)</f>
        <v>51738.678885070636</v>
      </c>
      <c r="CP24" s="52">
        <f>VLOOKUP($A24,[5]FY23!$W:$AF,6,FALSE)</f>
        <v>40359.997415018748</v>
      </c>
      <c r="CQ24" s="5">
        <v>0.90500000000000003</v>
      </c>
      <c r="CR24" s="4">
        <v>0.879</v>
      </c>
      <c r="CS24" s="4">
        <v>0.89100000000000001</v>
      </c>
      <c r="CT24" s="4">
        <v>0.92900000000000005</v>
      </c>
      <c r="CU24" s="4">
        <v>0.78</v>
      </c>
      <c r="CV24" s="4">
        <v>0.879</v>
      </c>
      <c r="CW24" s="4">
        <v>0.66100000000000003</v>
      </c>
      <c r="CX24" s="4">
        <v>0.81399999999999995</v>
      </c>
      <c r="CY24" t="s">
        <v>223</v>
      </c>
      <c r="CZ24" t="s">
        <v>223</v>
      </c>
      <c r="DA24" t="s">
        <v>257</v>
      </c>
      <c r="DB24">
        <v>0</v>
      </c>
      <c r="DC24">
        <v>0</v>
      </c>
      <c r="DD24">
        <v>4</v>
      </c>
      <c r="DE24">
        <v>0</v>
      </c>
      <c r="DF24">
        <v>3</v>
      </c>
      <c r="DG24">
        <v>0</v>
      </c>
      <c r="DH24">
        <v>0</v>
      </c>
      <c r="DI24">
        <v>5</v>
      </c>
      <c r="DJ24">
        <v>0</v>
      </c>
      <c r="DK24">
        <v>2</v>
      </c>
      <c r="DL24">
        <v>0</v>
      </c>
      <c r="DM24">
        <v>1</v>
      </c>
      <c r="DN24">
        <v>1</v>
      </c>
      <c r="DO24">
        <v>3</v>
      </c>
      <c r="DP24">
        <v>0</v>
      </c>
      <c r="DQ24" s="5">
        <v>0</v>
      </c>
      <c r="DR24" s="5">
        <v>0</v>
      </c>
      <c r="DS24" s="5">
        <v>0.57099999999999995</v>
      </c>
      <c r="DT24" s="5">
        <v>0</v>
      </c>
      <c r="DU24" s="5">
        <v>0.42899999999999999</v>
      </c>
      <c r="DV24" s="5">
        <v>0</v>
      </c>
      <c r="DW24" s="5">
        <v>0</v>
      </c>
      <c r="DX24" s="5">
        <v>0.71399999999999997</v>
      </c>
      <c r="DY24" s="5">
        <v>0</v>
      </c>
      <c r="DZ24" s="5">
        <v>0.28599999999999998</v>
      </c>
      <c r="EA24" s="5">
        <v>0</v>
      </c>
      <c r="EB24" s="5">
        <v>0.14299999999999999</v>
      </c>
      <c r="EC24" s="5">
        <v>0.14299999999999999</v>
      </c>
      <c r="ED24" s="5">
        <v>0.42899999999999999</v>
      </c>
      <c r="EE24" s="5">
        <v>0</v>
      </c>
      <c r="EF24" s="36">
        <f>VLOOKUP($A24,'[6]Updated (2)'!$A$2:$Q$54,2,FALSE)</f>
        <v>0</v>
      </c>
      <c r="EG24" s="36">
        <f>VLOOKUP($A24,'[6]Updated (2)'!$A$2:$Q$54,3,FALSE)</f>
        <v>0</v>
      </c>
      <c r="EH24" s="36">
        <f>VLOOKUP($A24,'[6]Updated (2)'!$A$2:$Q$54,4,FALSE)</f>
        <v>0</v>
      </c>
      <c r="EI24" s="36">
        <f>VLOOKUP($A24,'[6]Updated (2)'!$A$2:$Q$54,5,FALSE)</f>
        <v>0</v>
      </c>
      <c r="EJ24" s="48">
        <f>VLOOKUP($A24,'[6]Updated (2)'!$A$2:$Q$54,6,FALSE)</f>
        <v>0</v>
      </c>
      <c r="EK24" s="48">
        <f>VLOOKUP($A24,'[6]Updated (2)'!$A$2:$Q$54,7,FALSE)</f>
        <v>0</v>
      </c>
      <c r="EL24" s="48">
        <f>VLOOKUP($A24,'[6]Updated (2)'!$A$2:$Q$54,8,FALSE)</f>
        <v>0</v>
      </c>
      <c r="EM24" s="48">
        <f>VLOOKUP($A24,'[6]Updated (2)'!$A$2:$Q$54,9,FALSE)</f>
        <v>0</v>
      </c>
      <c r="EN24" s="36">
        <f>VLOOKUP($A24,'[6]Updated (2)'!$A$2:$Q$54,10,FALSE)</f>
        <v>0</v>
      </c>
      <c r="EO24" s="36">
        <f>VLOOKUP($A24,'[6]Updated (2)'!$A$2:$Q$54,11,FALSE)</f>
        <v>0</v>
      </c>
      <c r="EP24" s="36">
        <f>VLOOKUP($A24,'[6]Updated (2)'!$A$2:$Q$54,12,FALSE)</f>
        <v>0</v>
      </c>
      <c r="EQ24" s="36">
        <f>VLOOKUP($A24,'[6]Updated (2)'!$A$2:$Q$54,13,FALSE)</f>
        <v>0</v>
      </c>
      <c r="ER24" s="48">
        <f>VLOOKUP($A24,'[6]Updated (2)'!$A$2:$Q$54,14,FALSE)</f>
        <v>0</v>
      </c>
      <c r="ES24" s="48">
        <f>VLOOKUP($A24,'[6]Updated (2)'!$A$2:$Q$54,15,FALSE)</f>
        <v>0</v>
      </c>
      <c r="ET24" s="48">
        <f>VLOOKUP($A24,'[6]Updated (2)'!$A$2:$Q$54,16,FALSE)</f>
        <v>0</v>
      </c>
      <c r="EU24" s="48">
        <f>VLOOKUP($A24,'[6]Updated (2)'!$A$2:$Q$54,17,FALSE)</f>
        <v>0</v>
      </c>
      <c r="EV24" s="37">
        <f>VLOOKUP($A24,[7]Totals!$A24:$F75,3,FALSE)-SUM(EF24:EI24)</f>
        <v>39956019.330000006</v>
      </c>
      <c r="EW24" s="37">
        <f>VLOOKUP($A24,[7]Totals!$A24:$F75,4,FALSE)-SUM(EJ24:EM24)</f>
        <v>41101898.059999973</v>
      </c>
      <c r="EX24" s="37">
        <f>VLOOKUP($A24,[7]Totals!$A24:$F75,5,FALSE)-SUM(EN24:EQ24)</f>
        <v>43177614.710000016</v>
      </c>
      <c r="EY24" s="37">
        <f>VLOOKUP($A24,[7]Totals!$A24:$F75,6,FALSE)-SUM(ER24:EU24)</f>
        <v>49234838.729999892</v>
      </c>
      <c r="EZ24" s="52">
        <f t="shared" si="2"/>
        <v>22631.816463511343</v>
      </c>
      <c r="FA24" s="52">
        <f t="shared" si="3"/>
        <v>22790.452882498725</v>
      </c>
      <c r="FB24" s="52">
        <f t="shared" si="4"/>
        <v>24599.545760645397</v>
      </c>
      <c r="FC24" s="52">
        <f t="shared" si="5"/>
        <v>28599.299888471887</v>
      </c>
      <c r="FD24" s="37">
        <f>VLOOKUP($A24,[8]Totals!$A$2:$F$54,3)-SUM(EF24:EI24)</f>
        <v>38116843.410000004</v>
      </c>
      <c r="FE24" s="37">
        <f>VLOOKUP($A24,[8]Totals!$A$2:$F$54,4)-SUM(EJ24:EM24)</f>
        <v>39111091.249999993</v>
      </c>
      <c r="FF24" s="37">
        <f>VLOOKUP($A24,[8]Totals!$A$2:$F$54,5)-SUM(EN24:EQ24)</f>
        <v>41648763.489999987</v>
      </c>
      <c r="FG24" s="37">
        <f>VLOOKUP($A24,[8]Totals!$A$2:$F$54,6)-SUM(ER24:EU24)</f>
        <v>47460361.639999941</v>
      </c>
      <c r="FH24" s="52">
        <f t="shared" si="6"/>
        <v>21590.073753313547</v>
      </c>
      <c r="FI24" s="52">
        <f t="shared" si="7"/>
        <v>21686.577126317596</v>
      </c>
      <c r="FJ24" s="52">
        <f t="shared" si="8"/>
        <v>23728.514653433751</v>
      </c>
      <c r="FK24" s="52">
        <f t="shared" si="9"/>
        <v>27568.550042403862</v>
      </c>
      <c r="FL24" s="37">
        <f>VLOOKUP($A24,[9]Totals!$A$3:$F$54,3)-SUM(EF24:EI24)</f>
        <v>33866472.889999978</v>
      </c>
      <c r="FM24" s="37">
        <f>VLOOKUP($A24,[9]Totals!$A$3:$F$54,4)-SUM(EJ24:EM24)</f>
        <v>35900086.620000042</v>
      </c>
      <c r="FN24" s="37">
        <f>VLOOKUP($A24,[9]Totals!$A$3:$F$54,5)-SUM(EN24:EQ24)</f>
        <v>36829303.909999996</v>
      </c>
      <c r="FO24" s="37">
        <f>VLOOKUP($A24,[9]Totals!$A$3:$F$54,6)-SUM(ER24:EU24)</f>
        <v>40464317.980000049</v>
      </c>
      <c r="FP24" s="52">
        <f t="shared" si="10"/>
        <v>19182.586543036443</v>
      </c>
      <c r="FQ24" s="52">
        <f t="shared" si="11"/>
        <v>19906.117994754582</v>
      </c>
      <c r="FR24" s="52">
        <f t="shared" si="12"/>
        <v>20982.728039789883</v>
      </c>
      <c r="FS24" s="52">
        <f t="shared" si="13"/>
        <v>23504.721342518937</v>
      </c>
      <c r="FT24" s="37">
        <f>VLOOKUP($A24,[10]Calculations!$AF$3:$AJ$54,2,FALSE)-EI24</f>
        <v>7657273.5699999994</v>
      </c>
      <c r="FU24" s="37">
        <f>VLOOKUP($A24,[10]Calculations!$AF$3:$AJ$54,3,FALSE)-EM24</f>
        <v>7324427.6999999965</v>
      </c>
      <c r="FV24" s="37">
        <f>VLOOKUP($A24,[10]Calculations!$AF$3:$AJ$54,4,FALSE)-EQ24</f>
        <v>7793911.1999999927</v>
      </c>
      <c r="FW24" s="37">
        <f>VLOOKUP($A24,[10]Calculations!$AF$3:$AJ$54,5,FALSE)-EU24</f>
        <v>7492361.0642857077</v>
      </c>
      <c r="FX24" s="52">
        <f t="shared" si="14"/>
        <v>23560.841753846151</v>
      </c>
      <c r="FY24" s="52">
        <f t="shared" si="15"/>
        <v>21929.424251496996</v>
      </c>
      <c r="FZ24" s="52">
        <f t="shared" si="16"/>
        <v>23196.164285714265</v>
      </c>
      <c r="GA24" s="52">
        <f t="shared" si="17"/>
        <v>23196.164285714265</v>
      </c>
    </row>
    <row r="25" spans="1:183" ht="15.75" x14ac:dyDescent="0.25">
      <c r="A25" s="66" t="s">
        <v>273</v>
      </c>
      <c r="B25" s="66" t="s">
        <v>274</v>
      </c>
      <c r="C25" s="67">
        <v>3</v>
      </c>
      <c r="D25" s="68" t="s">
        <v>272</v>
      </c>
      <c r="E25">
        <v>7</v>
      </c>
      <c r="F25" s="27">
        <v>1859</v>
      </c>
      <c r="G25" s="27">
        <v>1768</v>
      </c>
      <c r="H25" s="27">
        <v>1767</v>
      </c>
      <c r="I25" s="27">
        <v>1602</v>
      </c>
      <c r="J25" s="23">
        <v>175</v>
      </c>
      <c r="K25" s="23">
        <v>164</v>
      </c>
      <c r="L25" s="23">
        <v>168</v>
      </c>
      <c r="M25" s="23">
        <v>147</v>
      </c>
      <c r="N25" s="27">
        <v>1684</v>
      </c>
      <c r="O25" s="27">
        <v>1604</v>
      </c>
      <c r="P25" s="27">
        <v>1599</v>
      </c>
      <c r="Q25" s="27">
        <v>1455</v>
      </c>
      <c r="R25" s="25">
        <f>VLOOKUP($A25,'ADM, LTADM'!$B:$L,2,FALSE)</f>
        <v>1622.95</v>
      </c>
      <c r="S25" s="25">
        <f>VLOOKUP($A25,'ADM, LTADM'!$B:$L,3,FALSE)</f>
        <v>1617.05</v>
      </c>
      <c r="T25" s="25">
        <f>VLOOKUP($A25,'ADM, LTADM'!$B:$L,4,FALSE)</f>
        <v>1571.02</v>
      </c>
      <c r="U25" s="25">
        <f>VLOOKUP($A25,'ADM, LTADM'!$B:$L,5,FALSE)</f>
        <v>1541.28</v>
      </c>
      <c r="V25" s="29">
        <f>VLOOKUP($A25,'ADM, LTADM'!$B:$L,7,FALSE)</f>
        <v>1650.57</v>
      </c>
      <c r="W25" s="29">
        <f>VLOOKUP($A25,'ADM, LTADM'!$B:$L,8,FALSE)</f>
        <v>1624.6</v>
      </c>
      <c r="X25" s="29">
        <f>VLOOKUP($A25,'ADM, LTADM'!$B:$L,9,FALSE)</f>
        <v>1595.75</v>
      </c>
      <c r="Y25" s="29">
        <f>VLOOKUP($A25,'ADM, LTADM'!$B:$L,10,FALSE)</f>
        <v>1559.04</v>
      </c>
      <c r="Z25" s="10">
        <v>1644.59</v>
      </c>
      <c r="AA25" s="10">
        <v>1635.83</v>
      </c>
      <c r="AB25" s="10">
        <v>1606.94</v>
      </c>
      <c r="AC25" s="10">
        <v>1569.24</v>
      </c>
      <c r="AD25" s="2">
        <v>0.25255102040816324</v>
      </c>
      <c r="AE25" s="2">
        <v>0.20443520443520444</v>
      </c>
      <c r="AF25" s="2">
        <v>0.2486522911051213</v>
      </c>
      <c r="AG25" s="2">
        <v>0.18440677966101696</v>
      </c>
      <c r="AH25" s="2">
        <f t="shared" si="0"/>
        <v>0.23521283864949635</v>
      </c>
      <c r="AI25" s="46">
        <f>VLOOKUP(A25,'[1]SU_SD IDEA 3-21'!$A:$B,2,FALSE)</f>
        <v>225</v>
      </c>
      <c r="AJ25" s="46">
        <f>VLOOKUP(A25,'[2]SU_SD IDEA 3-21'!$A:$B,2,FALSE)</f>
        <v>198</v>
      </c>
      <c r="AK25" s="46">
        <f>VLOOKUP(A25,'[3]SU_SD IDEA 3-21'!$A:$B,2,FALSE)</f>
        <v>211</v>
      </c>
      <c r="AL25" s="46">
        <f>VLOOKUP($A25,'[4]SU_SD IDEA 3-21'!$A:$B,2,FALSE)</f>
        <v>229</v>
      </c>
      <c r="AM25" s="22">
        <f t="shared" si="18"/>
        <v>0.13863643365476447</v>
      </c>
      <c r="AN25" s="22">
        <f t="shared" si="19"/>
        <v>0.12244519340774868</v>
      </c>
      <c r="AO25" s="22">
        <f t="shared" si="20"/>
        <v>0.13430764726101513</v>
      </c>
      <c r="AP25" s="22">
        <f t="shared" si="21"/>
        <v>0.14857780546039656</v>
      </c>
      <c r="AQ25" s="26" t="s">
        <v>222</v>
      </c>
      <c r="AR25" s="26" t="s">
        <v>222</v>
      </c>
      <c r="AS25" s="26" t="s">
        <v>222</v>
      </c>
      <c r="AT25" s="26">
        <v>1.0847457627118645E-2</v>
      </c>
      <c r="AU25" s="2">
        <v>0.60762942779291551</v>
      </c>
      <c r="AV25" s="2">
        <v>0.60821917808219184</v>
      </c>
      <c r="AW25" s="2">
        <v>0.7</v>
      </c>
      <c r="AX25" s="2">
        <v>0.62089201877934275</v>
      </c>
      <c r="AY25" s="2">
        <v>0.55978260869565222</v>
      </c>
      <c r="AZ25" s="2">
        <v>0.50136986301369868</v>
      </c>
      <c r="BA25" s="2">
        <v>0.4344262295081967</v>
      </c>
      <c r="BB25" s="2">
        <v>0.5169590643274854</v>
      </c>
      <c r="BC25" s="2">
        <v>0.68075117370892024</v>
      </c>
      <c r="BD25" s="2">
        <v>0.70799999999999996</v>
      </c>
      <c r="BE25" s="2" t="s">
        <v>222</v>
      </c>
      <c r="BF25" s="8">
        <v>0.7</v>
      </c>
      <c r="BG25" s="2">
        <v>0.539906103286385</v>
      </c>
      <c r="BH25" s="2">
        <v>0.45783132530120479</v>
      </c>
      <c r="BI25" s="2" t="s">
        <v>222</v>
      </c>
      <c r="BJ25" s="8">
        <v>0.5</v>
      </c>
      <c r="BK25" s="31">
        <f>VLOOKUP($A25,[5]FY20!$W:$AF,7,FALSE)</f>
        <v>6.9222090261282663</v>
      </c>
      <c r="BL25" s="31">
        <f>VLOOKUP($A25,[5]FY20!$W:$AF,8,FALSE)</f>
        <v>0.95308788598574834</v>
      </c>
      <c r="BM25" s="31">
        <f>VLOOKUP($A25,[5]FY20!$W:$AF,9,FALSE)</f>
        <v>1.460807600950119</v>
      </c>
      <c r="BN25" s="31">
        <f>VLOOKUP($A25,[5]FY20!$W:$AF,10,FALSE)</f>
        <v>4.2595011876484552</v>
      </c>
      <c r="BO25" s="55">
        <f>VLOOKUP($A25,[5]FY21!$W:$AF,7,FALSE)</f>
        <v>7.3503740648379043</v>
      </c>
      <c r="BP25" s="55">
        <f>VLOOKUP($A25,[5]FY21!$W:$AF,8,FALSE)</f>
        <v>1.0006234413965087</v>
      </c>
      <c r="BQ25" s="55">
        <f>VLOOKUP($A25,[5]FY21!$W:$AF,9,FALSE)</f>
        <v>1.5336658354114714</v>
      </c>
      <c r="BR25" s="55">
        <f>VLOOKUP($A25,[5]FY21!$W:$AF,10,FALSE)</f>
        <v>4.2911471321695762</v>
      </c>
      <c r="BS25" s="31">
        <f>VLOOKUP($A25,[5]FY22!$W:$AF,7,FALSE)</f>
        <v>7.2276422764227632</v>
      </c>
      <c r="BT25" s="31">
        <f>VLOOKUP($A25,[5]FY22!$W:$AF,8,FALSE)</f>
        <v>1.00375234521576</v>
      </c>
      <c r="BU25" s="31">
        <f>VLOOKUP($A25,[5]FY22!$W:$AF,9,FALSE)</f>
        <v>1.4759224515322078</v>
      </c>
      <c r="BV25" s="31">
        <f>VLOOKUP($A25,[5]FY22!$W:$AF,10,FALSE)</f>
        <v>5.3564727954971856</v>
      </c>
      <c r="BW25" s="55">
        <f>VLOOKUP($A25,[5]FY23!$W:$AF,7,FALSE)</f>
        <v>9.1546391752577332</v>
      </c>
      <c r="BX25" s="55">
        <f>VLOOKUP($A25,[5]FY23!$W:$AF,8,FALSE)</f>
        <v>1.1030927835051547</v>
      </c>
      <c r="BY25" s="55">
        <f>VLOOKUP($A25,[5]FY23!$W:$AF,9,FALSE)</f>
        <v>1.759450171821306</v>
      </c>
      <c r="BZ25" s="55">
        <f>VLOOKUP($A25,[5]FY23!$W:$AF,10,FALSE)</f>
        <v>6.2474226804123711</v>
      </c>
      <c r="CA25" s="37">
        <f>VLOOKUP($A25,[5]FY20!$W:$AF,3,FALSE)</f>
        <v>68815.158273998459</v>
      </c>
      <c r="CB25" s="37">
        <f>VLOOKUP($A25,[5]FY20!$W:$AF,4,FALSE)</f>
        <v>87652.274143302173</v>
      </c>
      <c r="CC25" s="37">
        <f>VLOOKUP($A25,[5]FY20!$W:$AF,5,FALSE)</f>
        <v>63013.577235772354</v>
      </c>
      <c r="CD25" s="37">
        <f>VLOOKUP($A25,[5]FY20!$W:$AF,6,FALSE)</f>
        <v>47444.904502997357</v>
      </c>
      <c r="CE25" s="52">
        <f>VLOOKUP($A25,[5]FY21!$W:$AF,3,FALSE)</f>
        <v>69157.455470737914</v>
      </c>
      <c r="CF25" s="52">
        <f>VLOOKUP($A25,[5]FY21!$W:$AF,4,FALSE)</f>
        <v>89423.987538940812</v>
      </c>
      <c r="CG25" s="52">
        <f>VLOOKUP($A25,[5]FY21!$W:$AF,5,FALSE)</f>
        <v>64359.227642276419</v>
      </c>
      <c r="CH25" s="52">
        <f>VLOOKUP($A25,[5]FY21!$W:$AF,6,FALSE)</f>
        <v>48513.409850355951</v>
      </c>
      <c r="CI25" s="37">
        <f>VLOOKUP($A25,[5]FY22!$W:$AF,3,FALSE)</f>
        <v>71553.326987972658</v>
      </c>
      <c r="CJ25" s="37">
        <f>VLOOKUP($A25,[5]FY22!$W:$AF,4,FALSE)</f>
        <v>92115.763239875392</v>
      </c>
      <c r="CK25" s="37">
        <f>VLOOKUP($A25,[5]FY22!$W:$AF,5,FALSE)</f>
        <v>69154.788135593219</v>
      </c>
      <c r="CL25" s="37">
        <f>VLOOKUP($A25,[5]FY22!$W:$AF,6,FALSE)</f>
        <v>53703.257443082308</v>
      </c>
      <c r="CM25" s="52">
        <f>VLOOKUP($A25,[5]FY23!$W:$AF,3,FALSE)</f>
        <v>71238.385885885873</v>
      </c>
      <c r="CN25" s="52">
        <f>VLOOKUP($A25,[5]FY23!$W:$AF,4,FALSE)</f>
        <v>94390.654205607469</v>
      </c>
      <c r="CO25" s="52">
        <f>VLOOKUP($A25,[5]FY23!$W:$AF,5,FALSE)</f>
        <v>71887.8125</v>
      </c>
      <c r="CP25" s="52">
        <f>VLOOKUP($A25,[5]FY23!$W:$AF,6,FALSE)</f>
        <v>54672.013201320129</v>
      </c>
      <c r="CQ25" s="5">
        <v>0.86799999999999999</v>
      </c>
      <c r="CR25" s="4">
        <v>0.89800000000000002</v>
      </c>
      <c r="CS25" s="4">
        <v>0.60799999999999998</v>
      </c>
      <c r="CT25" s="4">
        <v>0.9</v>
      </c>
      <c r="CU25" s="4">
        <v>0.86199999999999999</v>
      </c>
      <c r="CV25" s="4">
        <v>0.82199999999999995</v>
      </c>
      <c r="CW25" s="4">
        <v>0.82199999999999995</v>
      </c>
      <c r="CX25" s="4">
        <v>0.75800000000000001</v>
      </c>
      <c r="CY25" t="s">
        <v>228</v>
      </c>
      <c r="CZ25" t="s">
        <v>228</v>
      </c>
      <c r="DA25" t="s">
        <v>228</v>
      </c>
      <c r="DB25">
        <v>0</v>
      </c>
      <c r="DC25">
        <v>2</v>
      </c>
      <c r="DD25">
        <v>1</v>
      </c>
      <c r="DE25">
        <v>0</v>
      </c>
      <c r="DF25">
        <v>4</v>
      </c>
      <c r="DG25">
        <v>0</v>
      </c>
      <c r="DH25">
        <v>2</v>
      </c>
      <c r="DI25">
        <v>1</v>
      </c>
      <c r="DJ25">
        <v>0</v>
      </c>
      <c r="DK25">
        <v>4</v>
      </c>
      <c r="DL25">
        <v>2</v>
      </c>
      <c r="DM25">
        <v>2</v>
      </c>
      <c r="DN25">
        <v>1</v>
      </c>
      <c r="DO25">
        <v>0</v>
      </c>
      <c r="DP25">
        <v>0</v>
      </c>
      <c r="DQ25" s="5">
        <v>0</v>
      </c>
      <c r="DR25" s="5">
        <v>0.28599999999999998</v>
      </c>
      <c r="DS25" s="5">
        <v>0.14299999999999999</v>
      </c>
      <c r="DT25" s="5">
        <v>0</v>
      </c>
      <c r="DU25" s="5">
        <v>0.57099999999999995</v>
      </c>
      <c r="DV25" s="5">
        <v>0</v>
      </c>
      <c r="DW25" s="5">
        <v>0.28599999999999998</v>
      </c>
      <c r="DX25" s="5">
        <v>0.14299999999999999</v>
      </c>
      <c r="DY25" s="5">
        <v>0</v>
      </c>
      <c r="DZ25" s="5">
        <v>0.57099999999999995</v>
      </c>
      <c r="EA25" s="5">
        <v>0.28599999999999998</v>
      </c>
      <c r="EB25" s="5">
        <v>0.28599999999999998</v>
      </c>
      <c r="EC25" s="5">
        <v>0.14299999999999999</v>
      </c>
      <c r="ED25" s="5">
        <v>0</v>
      </c>
      <c r="EE25" s="5">
        <v>0</v>
      </c>
      <c r="EF25" s="36">
        <f>VLOOKUP($A25,'[6]Updated (2)'!$A$2:$Q$54,2,FALSE)</f>
        <v>0</v>
      </c>
      <c r="EG25" s="36">
        <f>VLOOKUP($A25,'[6]Updated (2)'!$A$2:$Q$54,3,FALSE)</f>
        <v>0</v>
      </c>
      <c r="EH25" s="36">
        <f>VLOOKUP($A25,'[6]Updated (2)'!$A$2:$Q$54,4,FALSE)</f>
        <v>0</v>
      </c>
      <c r="EI25" s="36">
        <f>VLOOKUP($A25,'[6]Updated (2)'!$A$2:$Q$54,5,FALSE)</f>
        <v>0</v>
      </c>
      <c r="EJ25" s="48">
        <f>VLOOKUP($A25,'[6]Updated (2)'!$A$2:$Q$54,6,FALSE)</f>
        <v>0</v>
      </c>
      <c r="EK25" s="48">
        <f>VLOOKUP($A25,'[6]Updated (2)'!$A$2:$Q$54,7,FALSE)</f>
        <v>0</v>
      </c>
      <c r="EL25" s="48">
        <f>VLOOKUP($A25,'[6]Updated (2)'!$A$2:$Q$54,8,FALSE)</f>
        <v>0</v>
      </c>
      <c r="EM25" s="48">
        <f>VLOOKUP($A25,'[6]Updated (2)'!$A$2:$Q$54,9,FALSE)</f>
        <v>0</v>
      </c>
      <c r="EN25" s="36">
        <f>VLOOKUP($A25,'[6]Updated (2)'!$A$2:$Q$54,10,FALSE)</f>
        <v>0</v>
      </c>
      <c r="EO25" s="36">
        <f>VLOOKUP($A25,'[6]Updated (2)'!$A$2:$Q$54,11,FALSE)</f>
        <v>0</v>
      </c>
      <c r="EP25" s="36">
        <f>VLOOKUP($A25,'[6]Updated (2)'!$A$2:$Q$54,12,FALSE)</f>
        <v>0</v>
      </c>
      <c r="EQ25" s="36">
        <f>VLOOKUP($A25,'[6]Updated (2)'!$A$2:$Q$54,13,FALSE)</f>
        <v>0</v>
      </c>
      <c r="ER25" s="48">
        <f>VLOOKUP($A25,'[6]Updated (2)'!$A$2:$Q$54,14,FALSE)</f>
        <v>0</v>
      </c>
      <c r="ES25" s="48">
        <f>VLOOKUP($A25,'[6]Updated (2)'!$A$2:$Q$54,15,FALSE)</f>
        <v>0</v>
      </c>
      <c r="ET25" s="48">
        <f>VLOOKUP($A25,'[6]Updated (2)'!$A$2:$Q$54,16,FALSE)</f>
        <v>0</v>
      </c>
      <c r="EU25" s="48">
        <f>VLOOKUP($A25,'[6]Updated (2)'!$A$2:$Q$54,17,FALSE)</f>
        <v>0</v>
      </c>
      <c r="EV25" s="37">
        <f>VLOOKUP($A25,[7]Totals!$A25:$F76,3,FALSE)-SUM(EF25:EI25)</f>
        <v>32356078.539999962</v>
      </c>
      <c r="EW25" s="37">
        <f>VLOOKUP($A25,[7]Totals!$A25:$F76,4,FALSE)-SUM(EJ25:EM25)</f>
        <v>31585245.360000014</v>
      </c>
      <c r="EX25" s="37">
        <f>VLOOKUP($A25,[7]Totals!$A25:$F76,5,FALSE)-SUM(EN25:EQ25)</f>
        <v>36407766.38000001</v>
      </c>
      <c r="EY25" s="37">
        <f>VLOOKUP($A25,[7]Totals!$A25:$F76,6,FALSE)-SUM(ER25:EU25)</f>
        <v>39079092.429999955</v>
      </c>
      <c r="EZ25" s="52">
        <f t="shared" si="2"/>
        <v>19602.972633696216</v>
      </c>
      <c r="FA25" s="52">
        <f t="shared" si="3"/>
        <v>19441.859756247701</v>
      </c>
      <c r="FB25" s="52">
        <f t="shared" si="4"/>
        <v>22815.457546608184</v>
      </c>
      <c r="FC25" s="52">
        <f t="shared" si="5"/>
        <v>25066.125583692501</v>
      </c>
      <c r="FD25" s="37">
        <f>VLOOKUP($A25,[8]Totals!$A$2:$F$54,3)-SUM(EF25:EI25)</f>
        <v>30811457.829999968</v>
      </c>
      <c r="FE25" s="37">
        <f>VLOOKUP($A25,[8]Totals!$A$2:$F$54,4)-SUM(EJ25:EM25)</f>
        <v>30590698.57</v>
      </c>
      <c r="FF25" s="37">
        <f>VLOOKUP($A25,[8]Totals!$A$2:$F$54,5)-SUM(EN25:EQ25)</f>
        <v>34832413.480000004</v>
      </c>
      <c r="FG25" s="37">
        <f>VLOOKUP($A25,[8]Totals!$A$2:$F$54,6)-SUM(ER25:EU25)</f>
        <v>37218043.36999999</v>
      </c>
      <c r="FH25" s="52">
        <f t="shared" si="6"/>
        <v>18667.162150045118</v>
      </c>
      <c r="FI25" s="52">
        <f t="shared" si="7"/>
        <v>18829.680272066973</v>
      </c>
      <c r="FJ25" s="52">
        <f t="shared" si="8"/>
        <v>21828.239686667715</v>
      </c>
      <c r="FK25" s="52">
        <f t="shared" si="9"/>
        <v>23872.410823327169</v>
      </c>
      <c r="FL25" s="37">
        <f>VLOOKUP($A25,[9]Totals!$A$3:$F$54,3)-SUM(EF25:EI25)</f>
        <v>28718189.099999964</v>
      </c>
      <c r="FM25" s="37">
        <f>VLOOKUP($A25,[9]Totals!$A$3:$F$54,4)-SUM(EJ25:EM25)</f>
        <v>27410478.09</v>
      </c>
      <c r="FN25" s="37">
        <f>VLOOKUP($A25,[9]Totals!$A$3:$F$54,5)-SUM(EN25:EQ25)</f>
        <v>30426997.289999988</v>
      </c>
      <c r="FO25" s="37">
        <f>VLOOKUP($A25,[9]Totals!$A$3:$F$54,6)-SUM(ER25:EU25)</f>
        <v>32844719.670000002</v>
      </c>
      <c r="FP25" s="52">
        <f t="shared" si="10"/>
        <v>17398.952543666714</v>
      </c>
      <c r="FQ25" s="52">
        <f t="shared" si="11"/>
        <v>16872.139658992983</v>
      </c>
      <c r="FR25" s="52">
        <f t="shared" si="12"/>
        <v>19067.521409995294</v>
      </c>
      <c r="FS25" s="52">
        <f t="shared" si="13"/>
        <v>21067.271955818967</v>
      </c>
      <c r="FT25" s="37">
        <f>VLOOKUP($A25,[10]Calculations!$AF$3:$AJ$54,2,FALSE)-EI25</f>
        <v>5791485.4199999971</v>
      </c>
      <c r="FU25" s="37">
        <f>VLOOKUP($A25,[10]Calculations!$AF$3:$AJ$54,3,FALSE)-EM25</f>
        <v>4880467.5899999989</v>
      </c>
      <c r="FV25" s="37">
        <f>VLOOKUP($A25,[10]Calculations!$AF$3:$AJ$54,4,FALSE)-EQ25</f>
        <v>5705075.2799999993</v>
      </c>
      <c r="FW25" s="37">
        <f>VLOOKUP($A25,[10]Calculations!$AF$3:$AJ$54,5,FALSE)-EU25</f>
        <v>6191764.1664454974</v>
      </c>
      <c r="FX25" s="52">
        <f t="shared" si="14"/>
        <v>25739.935199999989</v>
      </c>
      <c r="FY25" s="52">
        <f t="shared" si="15"/>
        <v>24648.826212121206</v>
      </c>
      <c r="FZ25" s="52">
        <f t="shared" si="16"/>
        <v>27038.271469194311</v>
      </c>
      <c r="GA25" s="52">
        <f t="shared" si="17"/>
        <v>27038.271469194311</v>
      </c>
    </row>
    <row r="26" spans="1:183" ht="15.75" x14ac:dyDescent="0.25">
      <c r="A26" s="66" t="s">
        <v>275</v>
      </c>
      <c r="B26" s="66" t="s">
        <v>276</v>
      </c>
      <c r="C26" s="67">
        <v>3</v>
      </c>
      <c r="D26" s="68" t="s">
        <v>240</v>
      </c>
      <c r="E26">
        <v>6</v>
      </c>
      <c r="F26" s="27">
        <v>1722</v>
      </c>
      <c r="G26" s="27">
        <v>1618</v>
      </c>
      <c r="H26" s="27">
        <v>1591</v>
      </c>
      <c r="I26" s="27">
        <v>1569</v>
      </c>
      <c r="J26" s="23">
        <v>155</v>
      </c>
      <c r="K26" s="23">
        <v>140</v>
      </c>
      <c r="L26" s="23">
        <v>130</v>
      </c>
      <c r="M26" s="23">
        <v>161</v>
      </c>
      <c r="N26" s="27">
        <v>1567</v>
      </c>
      <c r="O26" s="27">
        <v>1478</v>
      </c>
      <c r="P26" s="27">
        <v>1461</v>
      </c>
      <c r="Q26" s="27">
        <v>1407</v>
      </c>
      <c r="R26" s="25">
        <f>VLOOKUP($A26,'ADM, LTADM'!$B:$L,2,FALSE)</f>
        <v>1836.67</v>
      </c>
      <c r="S26" s="25">
        <f>VLOOKUP($A26,'ADM, LTADM'!$B:$L,3,FALSE)</f>
        <v>1840.25</v>
      </c>
      <c r="T26" s="25">
        <f>VLOOKUP($A26,'ADM, LTADM'!$B:$L,4,FALSE)</f>
        <v>1751.1800000000003</v>
      </c>
      <c r="U26" s="25">
        <f>VLOOKUP($A26,'ADM, LTADM'!$B:$L,5,FALSE)</f>
        <v>1780.5900000000001</v>
      </c>
      <c r="V26" s="29">
        <f>VLOOKUP($A26,'ADM, LTADM'!$B:$L,7,FALSE)</f>
        <v>1845.32</v>
      </c>
      <c r="W26" s="29">
        <f>VLOOKUP($A26,'ADM, LTADM'!$B:$L,8,FALSE)</f>
        <v>1847.0699999999997</v>
      </c>
      <c r="X26" s="29">
        <f>VLOOKUP($A26,'ADM, LTADM'!$B:$L,9,FALSE)</f>
        <v>1801.33</v>
      </c>
      <c r="Y26" s="29">
        <f>VLOOKUP($A26,'ADM, LTADM'!$B:$L,10,FALSE)</f>
        <v>1772.0900000000001</v>
      </c>
      <c r="Z26" s="10">
        <v>1906.02</v>
      </c>
      <c r="AA26" s="10">
        <v>1853.85</v>
      </c>
      <c r="AB26" s="10">
        <v>1870.24</v>
      </c>
      <c r="AC26" s="10">
        <v>1836.23</v>
      </c>
      <c r="AD26" s="2">
        <v>0.45927903871829107</v>
      </c>
      <c r="AE26" s="2">
        <v>0.3571945046999277</v>
      </c>
      <c r="AF26" s="2">
        <v>0.44144144144144143</v>
      </c>
      <c r="AG26" s="2">
        <v>0.35314443676572216</v>
      </c>
      <c r="AH26" s="2">
        <f t="shared" si="0"/>
        <v>0.4193049949532201</v>
      </c>
      <c r="AI26" s="46">
        <f>VLOOKUP(A26,'[1]SU_SD IDEA 3-21'!$A:$B,2,FALSE)</f>
        <v>382</v>
      </c>
      <c r="AJ26" s="46">
        <f>VLOOKUP(A26,'[2]SU_SD IDEA 3-21'!$A:$B,2,FALSE)</f>
        <v>390</v>
      </c>
      <c r="AK26" s="46">
        <f>VLOOKUP(A26,'[3]SU_SD IDEA 3-21'!$A:$B,2,FALSE)</f>
        <v>402</v>
      </c>
      <c r="AL26" s="46">
        <f>VLOOKUP($A26,'[4]SU_SD IDEA 3-21'!$A:$B,2,FALSE)</f>
        <v>417</v>
      </c>
      <c r="AM26" s="22">
        <f t="shared" si="18"/>
        <v>0.20798510347531129</v>
      </c>
      <c r="AN26" s="22">
        <f t="shared" si="19"/>
        <v>0.21192772721097677</v>
      </c>
      <c r="AO26" s="22">
        <f t="shared" si="20"/>
        <v>0.2295594970248632</v>
      </c>
      <c r="AP26" s="22">
        <f t="shared" si="21"/>
        <v>0.23419203747072598</v>
      </c>
      <c r="AQ26" s="26" t="s">
        <v>222</v>
      </c>
      <c r="AR26" s="26" t="s">
        <v>222</v>
      </c>
      <c r="AS26" s="26" t="s">
        <v>222</v>
      </c>
      <c r="AT26" s="26" t="s">
        <v>222</v>
      </c>
      <c r="AU26" s="2">
        <v>0.48529411764705882</v>
      </c>
      <c r="AV26" s="2">
        <v>0.48214285714285715</v>
      </c>
      <c r="AW26" s="2">
        <v>0.59285714285714286</v>
      </c>
      <c r="AX26" s="2">
        <v>0.5</v>
      </c>
      <c r="AY26" s="2">
        <v>0.42156862745098039</v>
      </c>
      <c r="AZ26" s="2">
        <v>0.28498727735368956</v>
      </c>
      <c r="BA26" s="2">
        <v>0.25</v>
      </c>
      <c r="BB26" s="2">
        <v>0.33900106269925612</v>
      </c>
      <c r="BC26" s="2">
        <v>0.42399999999999999</v>
      </c>
      <c r="BD26" s="2">
        <v>0.67114093959731547</v>
      </c>
      <c r="BE26" s="2">
        <v>0.37323943661971831</v>
      </c>
      <c r="BF26" s="8">
        <v>0.5</v>
      </c>
      <c r="BG26" s="2">
        <v>0.34399999999999997</v>
      </c>
      <c r="BH26" s="2">
        <v>0.38926174496644295</v>
      </c>
      <c r="BI26" s="2">
        <v>0.29078014184397161</v>
      </c>
      <c r="BJ26" s="8">
        <v>0.34</v>
      </c>
      <c r="BK26" s="31">
        <f>VLOOKUP($A26,[5]FY20!$W:$AF,7,FALSE)</f>
        <v>10.043395022335671</v>
      </c>
      <c r="BL26" s="31">
        <f>VLOOKUP($A26,[5]FY20!$W:$AF,8,FALSE)</f>
        <v>1.1671984684109764</v>
      </c>
      <c r="BM26" s="31">
        <f>VLOOKUP($A26,[5]FY20!$W:$AF,9,FALSE)</f>
        <v>1.7358008934269304</v>
      </c>
      <c r="BN26" s="31">
        <f>VLOOKUP($A26,[5]FY20!$W:$AF,10,FALSE)</f>
        <v>3.9336311423101469</v>
      </c>
      <c r="BO26" s="55">
        <f>VLOOKUP($A26,[5]FY21!$W:$AF,7,FALSE)</f>
        <v>10.828822733423547</v>
      </c>
      <c r="BP26" s="55">
        <f>VLOOKUP($A26,[5]FY21!$W:$AF,8,FALSE)</f>
        <v>1.2713125845737483</v>
      </c>
      <c r="BQ26" s="55">
        <f>VLOOKUP($A26,[5]FY21!$W:$AF,9,FALSE)</f>
        <v>1.6102841677943167</v>
      </c>
      <c r="BR26" s="55">
        <f>VLOOKUP($A26,[5]FY21!$W:$AF,10,FALSE)</f>
        <v>5.009472259810555</v>
      </c>
      <c r="BS26" s="31">
        <f>VLOOKUP($A26,[5]FY22!$W:$AF,7,FALSE)</f>
        <v>10.827515400410677</v>
      </c>
      <c r="BT26" s="31">
        <f>VLOOKUP($A26,[5]FY22!$W:$AF,8,FALSE)</f>
        <v>1.1635865845311431</v>
      </c>
      <c r="BU26" s="31">
        <f>VLOOKUP($A26,[5]FY22!$W:$AF,9,FALSE)</f>
        <v>1.7077344284736482</v>
      </c>
      <c r="BV26" s="31">
        <f>VLOOKUP($A26,[5]FY22!$W:$AF,10,FALSE)</f>
        <v>5.5366187542778933</v>
      </c>
      <c r="BW26" s="55">
        <f>VLOOKUP($A26,[5]FY23!$W:$AF,7,FALSE)</f>
        <v>11.105113636363638</v>
      </c>
      <c r="BX26" s="55">
        <f>VLOOKUP($A26,[5]FY23!$W:$AF,8,FALSE)</f>
        <v>1.5625</v>
      </c>
      <c r="BY26" s="55">
        <f>VLOOKUP($A26,[5]FY23!$W:$AF,9,FALSE)</f>
        <v>1.9524147727272729</v>
      </c>
      <c r="BZ26" s="55">
        <f>VLOOKUP($A26,[5]FY23!$W:$AF,10,FALSE)</f>
        <v>6.1392045454545459</v>
      </c>
      <c r="CA26" s="37">
        <f>VLOOKUP($A26,[5]FY20!$W:$AF,3,FALSE)</f>
        <v>56642.534375397147</v>
      </c>
      <c r="CB26" s="37">
        <f>VLOOKUP($A26,[5]FY20!$W:$AF,4,FALSE)</f>
        <v>85227.363039912554</v>
      </c>
      <c r="CC26" s="37">
        <f>VLOOKUP($A26,[5]FY20!$W:$AF,5,FALSE)</f>
        <v>62162.145588235289</v>
      </c>
      <c r="CD26" s="37">
        <f>VLOOKUP($A26,[5]FY20!$W:$AF,6,FALSE)</f>
        <v>39418.216093445815</v>
      </c>
      <c r="CE26" s="52">
        <f>VLOOKUP($A26,[5]FY21!$W:$AF,3,FALSE)</f>
        <v>57521.968134957824</v>
      </c>
      <c r="CF26" s="52">
        <f>VLOOKUP($A26,[5]FY21!$W:$AF,4,FALSE)</f>
        <v>88661.522086216079</v>
      </c>
      <c r="CG26" s="52">
        <f>VLOOKUP($A26,[5]FY21!$W:$AF,5,FALSE)</f>
        <v>65021.680672268907</v>
      </c>
      <c r="CH26" s="52">
        <f>VLOOKUP($A26,[5]FY21!$W:$AF,6,FALSE)</f>
        <v>45381.739600216097</v>
      </c>
      <c r="CI26" s="37">
        <f>VLOOKUP($A26,[5]FY22!$W:$AF,3,FALSE)</f>
        <v>60743.536253871927</v>
      </c>
      <c r="CJ26" s="37">
        <f>VLOOKUP($A26,[5]FY22!$W:$AF,4,FALSE)</f>
        <v>95282</v>
      </c>
      <c r="CK26" s="37">
        <f>VLOOKUP($A26,[5]FY22!$W:$AF,5,FALSE)</f>
        <v>66885.410821643294</v>
      </c>
      <c r="CL26" s="37">
        <f>VLOOKUP($A26,[5]FY22!$W:$AF,6,FALSE)</f>
        <v>47305.056249227338</v>
      </c>
      <c r="CM26" s="52">
        <f>VLOOKUP($A26,[5]FY23!$W:$AF,3,FALSE)</f>
        <v>62058.90253261703</v>
      </c>
      <c r="CN26" s="52">
        <f>VLOOKUP($A26,[5]FY23!$W:$AF,4,FALSE)</f>
        <v>87561.772727272721</v>
      </c>
      <c r="CO26" s="52">
        <f>VLOOKUP($A26,[5]FY23!$W:$AF,5,FALSE)</f>
        <v>67595.452891960711</v>
      </c>
      <c r="CP26" s="52">
        <f>VLOOKUP($A26,[5]FY23!$W:$AF,6,FALSE)</f>
        <v>49878.088847755673</v>
      </c>
      <c r="CQ26" s="5">
        <v>0.81299999999999994</v>
      </c>
      <c r="CR26" s="4">
        <v>0.90900000000000003</v>
      </c>
      <c r="CS26" s="4">
        <v>0.76500000000000001</v>
      </c>
      <c r="CT26" s="4">
        <v>0.83299999999999996</v>
      </c>
      <c r="CU26" s="4">
        <v>0.84399999999999997</v>
      </c>
      <c r="CV26" s="4">
        <v>0.82199999999999995</v>
      </c>
      <c r="CW26" s="4">
        <v>0.86</v>
      </c>
      <c r="CX26" s="4">
        <v>0.80200000000000005</v>
      </c>
      <c r="CY26" t="s">
        <v>223</v>
      </c>
      <c r="CZ26" t="s">
        <v>223</v>
      </c>
      <c r="DA26" t="s">
        <v>223</v>
      </c>
      <c r="DB26">
        <v>0</v>
      </c>
      <c r="DC26">
        <v>0</v>
      </c>
      <c r="DD26">
        <v>3</v>
      </c>
      <c r="DE26">
        <v>0</v>
      </c>
      <c r="DF26">
        <v>3</v>
      </c>
      <c r="DG26">
        <v>0</v>
      </c>
      <c r="DH26">
        <v>0</v>
      </c>
      <c r="DI26">
        <v>6</v>
      </c>
      <c r="DJ26">
        <v>0</v>
      </c>
      <c r="DK26">
        <v>0</v>
      </c>
      <c r="DL26">
        <v>0</v>
      </c>
      <c r="DM26">
        <v>0</v>
      </c>
      <c r="DN26">
        <v>2</v>
      </c>
      <c r="DO26">
        <v>0</v>
      </c>
      <c r="DP26">
        <v>0</v>
      </c>
      <c r="DQ26" s="5">
        <v>0</v>
      </c>
      <c r="DR26" s="5">
        <v>0</v>
      </c>
      <c r="DS26" s="5">
        <v>0.5</v>
      </c>
      <c r="DT26" s="5">
        <v>0</v>
      </c>
      <c r="DU26" s="5">
        <v>0.5</v>
      </c>
      <c r="DV26" s="5">
        <v>0</v>
      </c>
      <c r="DW26" s="5">
        <v>0</v>
      </c>
      <c r="DX26" s="5">
        <v>1</v>
      </c>
      <c r="DY26" s="5">
        <v>0</v>
      </c>
      <c r="DZ26" s="5">
        <v>0</v>
      </c>
      <c r="EA26" s="5">
        <v>0</v>
      </c>
      <c r="EB26" s="5">
        <v>0</v>
      </c>
      <c r="EC26" s="5">
        <v>0.33300000000000002</v>
      </c>
      <c r="ED26" s="5">
        <v>0</v>
      </c>
      <c r="EE26" s="5">
        <v>0</v>
      </c>
      <c r="EF26" s="36">
        <f>VLOOKUP($A26,'[6]Updated (2)'!$A$2:$Q$54,2,FALSE)</f>
        <v>0</v>
      </c>
      <c r="EG26" s="36">
        <f>VLOOKUP($A26,'[6]Updated (2)'!$A$2:$Q$54,3,FALSE)</f>
        <v>0</v>
      </c>
      <c r="EH26" s="36">
        <f>VLOOKUP($A26,'[6]Updated (2)'!$A$2:$Q$54,4,FALSE)</f>
        <v>0</v>
      </c>
      <c r="EI26" s="36">
        <f>VLOOKUP($A26,'[6]Updated (2)'!$A$2:$Q$54,5,FALSE)</f>
        <v>0</v>
      </c>
      <c r="EJ26" s="48">
        <f>VLOOKUP($A26,'[6]Updated (2)'!$A$2:$Q$54,6,FALSE)</f>
        <v>0</v>
      </c>
      <c r="EK26" s="48">
        <f>VLOOKUP($A26,'[6]Updated (2)'!$A$2:$Q$54,7,FALSE)</f>
        <v>0</v>
      </c>
      <c r="EL26" s="48">
        <f>VLOOKUP($A26,'[6]Updated (2)'!$A$2:$Q$54,8,FALSE)</f>
        <v>0</v>
      </c>
      <c r="EM26" s="48">
        <f>VLOOKUP($A26,'[6]Updated (2)'!$A$2:$Q$54,9,FALSE)</f>
        <v>0</v>
      </c>
      <c r="EN26" s="36">
        <f>VLOOKUP($A26,'[6]Updated (2)'!$A$2:$Q$54,10,FALSE)</f>
        <v>0</v>
      </c>
      <c r="EO26" s="36">
        <f>VLOOKUP($A26,'[6]Updated (2)'!$A$2:$Q$54,11,FALSE)</f>
        <v>0</v>
      </c>
      <c r="EP26" s="36">
        <f>VLOOKUP($A26,'[6]Updated (2)'!$A$2:$Q$54,12,FALSE)</f>
        <v>0</v>
      </c>
      <c r="EQ26" s="36">
        <f>VLOOKUP($A26,'[6]Updated (2)'!$A$2:$Q$54,13,FALSE)</f>
        <v>0</v>
      </c>
      <c r="ER26" s="48">
        <f>VLOOKUP($A26,'[6]Updated (2)'!$A$2:$Q$54,14,FALSE)</f>
        <v>0</v>
      </c>
      <c r="ES26" s="48">
        <f>VLOOKUP($A26,'[6]Updated (2)'!$A$2:$Q$54,15,FALSE)</f>
        <v>0</v>
      </c>
      <c r="ET26" s="48">
        <f>VLOOKUP($A26,'[6]Updated (2)'!$A$2:$Q$54,16,FALSE)</f>
        <v>0</v>
      </c>
      <c r="EU26" s="48">
        <f>VLOOKUP($A26,'[6]Updated (2)'!$A$2:$Q$54,17,FALSE)</f>
        <v>0</v>
      </c>
      <c r="EV26" s="37">
        <f>VLOOKUP($A26,[7]Totals!$A26:$F77,3,FALSE)-SUM(EF26:EI26)</f>
        <v>46233447.849999957</v>
      </c>
      <c r="EW26" s="37">
        <f>VLOOKUP($A26,[7]Totals!$A26:$F77,4,FALSE)-SUM(EJ26:EM26)</f>
        <v>43456269.639999919</v>
      </c>
      <c r="EX26" s="37">
        <f>VLOOKUP($A26,[7]Totals!$A26:$F77,5,FALSE)-SUM(EN26:EQ26)</f>
        <v>45361837.570000038</v>
      </c>
      <c r="EY26" s="37">
        <f>VLOOKUP($A26,[7]Totals!$A26:$F77,6,FALSE)-SUM(ER26:EU26)</f>
        <v>51482788.720000014</v>
      </c>
      <c r="EZ26" s="52">
        <f t="shared" si="2"/>
        <v>25054.433838033488</v>
      </c>
      <c r="FA26" s="52">
        <f t="shared" si="3"/>
        <v>23527.137379741929</v>
      </c>
      <c r="FB26" s="52">
        <f t="shared" si="4"/>
        <v>25182.413866420946</v>
      </c>
      <c r="FC26" s="52">
        <f t="shared" si="5"/>
        <v>29052.016951734964</v>
      </c>
      <c r="FD26" s="37">
        <f>VLOOKUP($A26,[8]Totals!$A$2:$F$54,3)-SUM(EF26:EI26)</f>
        <v>44514806.819999963</v>
      </c>
      <c r="FE26" s="37">
        <f>VLOOKUP($A26,[8]Totals!$A$2:$F$54,4)-SUM(EJ26:EM26)</f>
        <v>41792399.509999916</v>
      </c>
      <c r="FF26" s="37">
        <f>VLOOKUP($A26,[8]Totals!$A$2:$F$54,5)-SUM(EN26:EQ26)</f>
        <v>43878358.810000002</v>
      </c>
      <c r="FG26" s="37">
        <f>VLOOKUP($A26,[8]Totals!$A$2:$F$54,6)-SUM(ER26:EU26)</f>
        <v>50120869.759999998</v>
      </c>
      <c r="FH26" s="52">
        <f t="shared" si="6"/>
        <v>24123.0826198166</v>
      </c>
      <c r="FI26" s="52">
        <f t="shared" si="7"/>
        <v>22626.321422577337</v>
      </c>
      <c r="FJ26" s="52">
        <f t="shared" si="8"/>
        <v>24358.867509007236</v>
      </c>
      <c r="FK26" s="52">
        <f t="shared" si="9"/>
        <v>28283.478694648689</v>
      </c>
      <c r="FL26" s="37">
        <f>VLOOKUP($A26,[9]Totals!$A$3:$F$54,3)-SUM(EF26:EI26)</f>
        <v>41939499.469999947</v>
      </c>
      <c r="FM26" s="37">
        <f>VLOOKUP($A26,[9]Totals!$A$3:$F$54,4)-SUM(EJ26:EM26)</f>
        <v>38217825.67999994</v>
      </c>
      <c r="FN26" s="37">
        <f>VLOOKUP($A26,[9]Totals!$A$3:$F$54,5)-SUM(EN26:EQ26)</f>
        <v>40177610.120000042</v>
      </c>
      <c r="FO26" s="37">
        <f>VLOOKUP($A26,[9]Totals!$A$3:$F$54,6)-SUM(ER26:EU26)</f>
        <v>43691875.490000077</v>
      </c>
      <c r="FP26" s="52">
        <f t="shared" si="10"/>
        <v>22727.494131099185</v>
      </c>
      <c r="FQ26" s="52">
        <f t="shared" si="11"/>
        <v>20691.054307633141</v>
      </c>
      <c r="FR26" s="52">
        <f t="shared" si="12"/>
        <v>22304.414027413102</v>
      </c>
      <c r="FS26" s="52">
        <f t="shared" si="13"/>
        <v>24655.56235292794</v>
      </c>
      <c r="FT26" s="37">
        <f>VLOOKUP($A26,[10]Calculations!$AF$3:$AJ$54,2,FALSE)-EI26</f>
        <v>10831708.45999999</v>
      </c>
      <c r="FU26" s="37">
        <f>VLOOKUP($A26,[10]Calculations!$AF$3:$AJ$54,3,FALSE)-EM26</f>
        <v>8777932.290000001</v>
      </c>
      <c r="FV26" s="37">
        <f>VLOOKUP($A26,[10]Calculations!$AF$3:$AJ$54,4,FALSE)-EQ26</f>
        <v>9732584.5300000031</v>
      </c>
      <c r="FW26" s="37">
        <f>VLOOKUP($A26,[10]Calculations!$AF$3:$AJ$54,5,FALSE)-EU26</f>
        <v>10095740.669179108</v>
      </c>
      <c r="FX26" s="52">
        <f t="shared" si="14"/>
        <v>28355.257748691074</v>
      </c>
      <c r="FY26" s="52">
        <f t="shared" si="15"/>
        <v>22507.518692307694</v>
      </c>
      <c r="FZ26" s="52">
        <f t="shared" si="16"/>
        <v>24210.409278606974</v>
      </c>
      <c r="GA26" s="52">
        <f t="shared" si="17"/>
        <v>24210.409278606974</v>
      </c>
    </row>
    <row r="27" spans="1:183" ht="15.75" x14ac:dyDescent="0.25">
      <c r="A27" s="66" t="s">
        <v>277</v>
      </c>
      <c r="B27" s="66" t="s">
        <v>278</v>
      </c>
      <c r="C27" s="67">
        <v>1</v>
      </c>
      <c r="D27" s="68" t="s">
        <v>272</v>
      </c>
      <c r="E27">
        <v>4</v>
      </c>
      <c r="F27" s="27">
        <v>893</v>
      </c>
      <c r="G27" s="27">
        <v>827</v>
      </c>
      <c r="H27" s="27">
        <v>877</v>
      </c>
      <c r="I27" s="27">
        <v>853</v>
      </c>
      <c r="J27" s="23">
        <v>72</v>
      </c>
      <c r="K27" s="23">
        <v>41</v>
      </c>
      <c r="L27" s="23">
        <v>48</v>
      </c>
      <c r="M27" s="23">
        <v>54</v>
      </c>
      <c r="N27" s="27">
        <v>821</v>
      </c>
      <c r="O27" s="27">
        <v>786</v>
      </c>
      <c r="P27" s="27">
        <v>829</v>
      </c>
      <c r="Q27" s="27">
        <v>799</v>
      </c>
      <c r="R27" s="25">
        <f>VLOOKUP($A27,'ADM, LTADM'!$B:$L,2,FALSE)</f>
        <v>879.11</v>
      </c>
      <c r="S27" s="25">
        <f>VLOOKUP($A27,'ADM, LTADM'!$B:$L,3,FALSE)</f>
        <v>869.15000000000009</v>
      </c>
      <c r="T27" s="25">
        <f>VLOOKUP($A27,'ADM, LTADM'!$B:$L,4,FALSE)</f>
        <v>852.35</v>
      </c>
      <c r="U27" s="25">
        <f>VLOOKUP($A27,'ADM, LTADM'!$B:$L,5,FALSE)</f>
        <v>832.85</v>
      </c>
      <c r="V27" s="29">
        <f>VLOOKUP($A27,'ADM, LTADM'!$B:$L,7,FALSE)</f>
        <v>886.24</v>
      </c>
      <c r="W27" s="29">
        <f>VLOOKUP($A27,'ADM, LTADM'!$B:$L,8,FALSE)</f>
        <v>871.59999999999991</v>
      </c>
      <c r="X27" s="29">
        <f>VLOOKUP($A27,'ADM, LTADM'!$B:$L,9,FALSE)</f>
        <v>863.2700000000001</v>
      </c>
      <c r="Y27" s="29">
        <f>VLOOKUP($A27,'ADM, LTADM'!$B:$L,10,FALSE)</f>
        <v>845.07999999999993</v>
      </c>
      <c r="Z27" s="10">
        <v>872.99</v>
      </c>
      <c r="AA27" s="10">
        <v>892.68</v>
      </c>
      <c r="AB27" s="10">
        <v>872.75</v>
      </c>
      <c r="AC27" s="10">
        <v>866.78</v>
      </c>
      <c r="AD27" s="2">
        <v>0.41826923076923078</v>
      </c>
      <c r="AE27" s="2">
        <v>0.40370370370370373</v>
      </c>
      <c r="AF27" s="2">
        <v>0.38262910798122068</v>
      </c>
      <c r="AG27" s="2">
        <v>0.30483271375464682</v>
      </c>
      <c r="AH27" s="2">
        <f t="shared" si="0"/>
        <v>0.40153401415138507</v>
      </c>
      <c r="AI27" s="46">
        <f>VLOOKUP(A27,'[1]SU_SD IDEA 3-21'!$A:$B,2,FALSE)</f>
        <v>187</v>
      </c>
      <c r="AJ27" s="46">
        <f>VLOOKUP(A27,'[2]SU_SD IDEA 3-21'!$A:$B,2,FALSE)</f>
        <v>185</v>
      </c>
      <c r="AK27" s="46">
        <f>VLOOKUP(A27,'[3]SU_SD IDEA 3-21'!$A:$B,2,FALSE)</f>
        <v>181</v>
      </c>
      <c r="AL27" s="46">
        <f>VLOOKUP($A27,'[4]SU_SD IDEA 3-21'!$A:$B,2,FALSE)</f>
        <v>176</v>
      </c>
      <c r="AM27" s="22">
        <f t="shared" si="18"/>
        <v>0.21271513234976283</v>
      </c>
      <c r="AN27" s="22">
        <f t="shared" si="19"/>
        <v>0.21285163665650345</v>
      </c>
      <c r="AO27" s="22">
        <f t="shared" si="20"/>
        <v>0.21235407989675603</v>
      </c>
      <c r="AP27" s="22">
        <f t="shared" si="21"/>
        <v>0.21132256708891156</v>
      </c>
      <c r="AQ27" s="26" t="s">
        <v>222</v>
      </c>
      <c r="AR27" s="26" t="s">
        <v>222</v>
      </c>
      <c r="AS27" s="26" t="s">
        <v>222</v>
      </c>
      <c r="AT27" s="26" t="s">
        <v>222</v>
      </c>
      <c r="AU27" s="2">
        <v>0.54450261780104714</v>
      </c>
      <c r="AV27" s="2">
        <v>0.39790575916230364</v>
      </c>
      <c r="AW27" s="2">
        <v>0.48484848484848486</v>
      </c>
      <c r="AX27" s="2">
        <v>0.4732142857142857</v>
      </c>
      <c r="AY27" s="2">
        <v>0.52879581151832455</v>
      </c>
      <c r="AZ27" s="2">
        <v>0.26178010471204188</v>
      </c>
      <c r="BA27" s="2">
        <v>0.2153846153846154</v>
      </c>
      <c r="BB27" s="2">
        <v>0.36912751677852351</v>
      </c>
      <c r="BC27" s="2">
        <v>0.74242424242424243</v>
      </c>
      <c r="BD27" s="2" t="s">
        <v>222</v>
      </c>
      <c r="BE27" s="2" t="s">
        <v>222</v>
      </c>
      <c r="BF27" s="8">
        <v>0.74</v>
      </c>
      <c r="BG27" s="2">
        <v>0.5</v>
      </c>
      <c r="BH27" s="2" t="s">
        <v>222</v>
      </c>
      <c r="BI27" s="2" t="s">
        <v>222</v>
      </c>
      <c r="BJ27" s="8">
        <v>0.5</v>
      </c>
      <c r="BK27" s="31">
        <f>VLOOKUP($A27,[5]FY20!$W:$AF,7,FALSE)</f>
        <v>9.7685749086479916</v>
      </c>
      <c r="BL27" s="31">
        <f>VLOOKUP($A27,[5]FY20!$W:$AF,8,FALSE)</f>
        <v>1.3398294762484775</v>
      </c>
      <c r="BM27" s="31">
        <f>VLOOKUP($A27,[5]FY20!$W:$AF,9,FALSE)</f>
        <v>3.1425091352009744</v>
      </c>
      <c r="BN27" s="31">
        <f>VLOOKUP($A27,[5]FY20!$W:$AF,10,FALSE)</f>
        <v>5.5298416565164432</v>
      </c>
      <c r="BO27" s="55">
        <f>VLOOKUP($A27,[5]FY21!$W:$AF,7,FALSE)</f>
        <v>10.458015267175574</v>
      </c>
      <c r="BP27" s="55">
        <f>VLOOKUP($A27,[5]FY21!$W:$AF,8,FALSE)</f>
        <v>1.3994910941475827</v>
      </c>
      <c r="BQ27" s="55">
        <f>VLOOKUP($A27,[5]FY21!$W:$AF,9,FALSE)</f>
        <v>3.4605597964376589</v>
      </c>
      <c r="BR27" s="55">
        <f>VLOOKUP($A27,[5]FY21!$W:$AF,10,FALSE)</f>
        <v>6.1577608142493636</v>
      </c>
      <c r="BS27" s="31">
        <f>VLOOKUP($A27,[5]FY22!$W:$AF,7,FALSE)</f>
        <v>9.9577804583835938</v>
      </c>
      <c r="BT27" s="31">
        <f>VLOOKUP($A27,[5]FY22!$W:$AF,8,FALSE)</f>
        <v>1.4776839565741857</v>
      </c>
      <c r="BU27" s="31">
        <f>VLOOKUP($A27,[5]FY22!$W:$AF,9,FALSE)</f>
        <v>3.6429433051869715</v>
      </c>
      <c r="BV27" s="31">
        <f>VLOOKUP($A27,[5]FY22!$W:$AF,10,FALSE)</f>
        <v>6.556091676718939</v>
      </c>
      <c r="BW27" s="55">
        <f>VLOOKUP($A27,[5]FY23!$W:$AF,7,FALSE)</f>
        <v>10.362953692115145</v>
      </c>
      <c r="BX27" s="55">
        <f>VLOOKUP($A27,[5]FY23!$W:$AF,8,FALSE)</f>
        <v>1.7021276595744681</v>
      </c>
      <c r="BY27" s="55">
        <f>VLOOKUP($A27,[5]FY23!$W:$AF,9,FALSE)</f>
        <v>4.2428035043804755</v>
      </c>
      <c r="BZ27" s="55">
        <f>VLOOKUP($A27,[5]FY23!$W:$AF,10,FALSE)</f>
        <v>6.9586983729662082</v>
      </c>
      <c r="CA27" s="37">
        <f>VLOOKUP($A27,[5]FY20!$W:$AF,3,FALSE)</f>
        <v>61448.20448877805</v>
      </c>
      <c r="CB27" s="37">
        <f>VLOOKUP($A27,[5]FY20!$W:$AF,4,FALSE)</f>
        <v>93150.181818181823</v>
      </c>
      <c r="CC27" s="37">
        <f>VLOOKUP($A27,[5]FY20!$W:$AF,5,FALSE)</f>
        <v>41464.418604651168</v>
      </c>
      <c r="CD27" s="37">
        <f>VLOOKUP($A27,[5]FY20!$W:$AF,6,FALSE)</f>
        <v>41952.59911894273</v>
      </c>
      <c r="CE27" s="52">
        <f>VLOOKUP($A27,[5]FY21!$W:$AF,3,FALSE)</f>
        <v>61478.600973236011</v>
      </c>
      <c r="CF27" s="52">
        <f>VLOOKUP($A27,[5]FY21!$W:$AF,4,FALSE)</f>
        <v>96301.545454545456</v>
      </c>
      <c r="CG27" s="52">
        <f>VLOOKUP($A27,[5]FY21!$W:$AF,5,FALSE)</f>
        <v>40359.889705882357</v>
      </c>
      <c r="CH27" s="52">
        <f>VLOOKUP($A27,[5]FY21!$W:$AF,6,FALSE)</f>
        <v>44044.359504132233</v>
      </c>
      <c r="CI27" s="37">
        <f>VLOOKUP($A27,[5]FY22!$W:$AF,3,FALSE)</f>
        <v>62338.14657783162</v>
      </c>
      <c r="CJ27" s="37">
        <f>VLOOKUP($A27,[5]FY22!$W:$AF,4,FALSE)</f>
        <v>93882.530612244896</v>
      </c>
      <c r="CK27" s="37">
        <f>VLOOKUP($A27,[5]FY22!$W:$AF,5,FALSE)</f>
        <v>54114.867549668881</v>
      </c>
      <c r="CL27" s="37">
        <f>VLOOKUP($A27,[5]FY22!$W:$AF,6,FALSE)</f>
        <v>46329.126034958601</v>
      </c>
      <c r="CM27" s="52">
        <f>VLOOKUP($A27,[5]FY23!$W:$AF,3,FALSE)</f>
        <v>60973.405797101448</v>
      </c>
      <c r="CN27" s="52">
        <f>VLOOKUP($A27,[5]FY23!$W:$AF,4,FALSE)</f>
        <v>96999.191176470573</v>
      </c>
      <c r="CO27" s="52">
        <f>VLOOKUP($A27,[5]FY23!$W:$AF,5,FALSE)</f>
        <v>45988.348082595869</v>
      </c>
      <c r="CP27" s="52">
        <f>VLOOKUP($A27,[5]FY23!$W:$AF,6,FALSE)</f>
        <v>48813.705035971223</v>
      </c>
      <c r="CQ27" s="5">
        <v>0.90100000000000002</v>
      </c>
      <c r="CR27" s="4">
        <v>0.91100000000000003</v>
      </c>
      <c r="CS27" s="4">
        <v>0.85899999999999999</v>
      </c>
      <c r="CT27" s="4">
        <v>0.91100000000000003</v>
      </c>
      <c r="CU27" s="4">
        <v>0.88200000000000001</v>
      </c>
      <c r="CV27" s="4">
        <v>0.91600000000000004</v>
      </c>
      <c r="CW27" s="4">
        <v>0.85899999999999999</v>
      </c>
      <c r="CX27" s="4">
        <v>0.90400000000000003</v>
      </c>
      <c r="CY27" t="s">
        <v>223</v>
      </c>
      <c r="CZ27" t="s">
        <v>223</v>
      </c>
      <c r="DA27" t="s">
        <v>223</v>
      </c>
      <c r="DB27">
        <v>0</v>
      </c>
      <c r="DC27">
        <v>0</v>
      </c>
      <c r="DD27">
        <v>2</v>
      </c>
      <c r="DE27">
        <v>0</v>
      </c>
      <c r="DF27">
        <v>2</v>
      </c>
      <c r="DG27">
        <v>0</v>
      </c>
      <c r="DH27">
        <v>0</v>
      </c>
      <c r="DI27">
        <v>2</v>
      </c>
      <c r="DJ27">
        <v>0</v>
      </c>
      <c r="DK27">
        <v>2</v>
      </c>
      <c r="DL27">
        <v>0</v>
      </c>
      <c r="DM27">
        <v>0</v>
      </c>
      <c r="DN27">
        <v>2</v>
      </c>
      <c r="DO27">
        <v>0</v>
      </c>
      <c r="DP27">
        <v>0</v>
      </c>
      <c r="DQ27" s="5">
        <v>0</v>
      </c>
      <c r="DR27" s="5">
        <v>0</v>
      </c>
      <c r="DS27" s="5">
        <v>0.5</v>
      </c>
      <c r="DT27" s="5">
        <v>0</v>
      </c>
      <c r="DU27" s="5">
        <v>0.5</v>
      </c>
      <c r="DV27" s="5">
        <v>0</v>
      </c>
      <c r="DW27" s="5">
        <v>0</v>
      </c>
      <c r="DX27" s="5">
        <v>0.5</v>
      </c>
      <c r="DY27" s="5">
        <v>0</v>
      </c>
      <c r="DZ27" s="5">
        <v>0.5</v>
      </c>
      <c r="EA27" s="5">
        <v>0</v>
      </c>
      <c r="EB27" s="5">
        <v>0</v>
      </c>
      <c r="EC27" s="5">
        <v>0.5</v>
      </c>
      <c r="ED27" s="5">
        <v>0</v>
      </c>
      <c r="EE27" s="5">
        <v>0</v>
      </c>
      <c r="EF27" s="36">
        <f>VLOOKUP($A27,'[6]Updated (2)'!$A$2:$Q$54,2,FALSE)</f>
        <v>0</v>
      </c>
      <c r="EG27" s="36">
        <f>VLOOKUP($A27,'[6]Updated (2)'!$A$2:$Q$54,3,FALSE)</f>
        <v>0</v>
      </c>
      <c r="EH27" s="36">
        <f>VLOOKUP($A27,'[6]Updated (2)'!$A$2:$Q$54,4,FALSE)</f>
        <v>0</v>
      </c>
      <c r="EI27" s="36">
        <f>VLOOKUP($A27,'[6]Updated (2)'!$A$2:$Q$54,5,FALSE)</f>
        <v>0</v>
      </c>
      <c r="EJ27" s="48">
        <f>VLOOKUP($A27,'[6]Updated (2)'!$A$2:$Q$54,6,FALSE)</f>
        <v>0</v>
      </c>
      <c r="EK27" s="48">
        <f>VLOOKUP($A27,'[6]Updated (2)'!$A$2:$Q$54,7,FALSE)</f>
        <v>0</v>
      </c>
      <c r="EL27" s="48">
        <f>VLOOKUP($A27,'[6]Updated (2)'!$A$2:$Q$54,8,FALSE)</f>
        <v>0</v>
      </c>
      <c r="EM27" s="48">
        <f>VLOOKUP($A27,'[6]Updated (2)'!$A$2:$Q$54,9,FALSE)</f>
        <v>0</v>
      </c>
      <c r="EN27" s="36">
        <f>VLOOKUP($A27,'[6]Updated (2)'!$A$2:$Q$54,10,FALSE)</f>
        <v>0</v>
      </c>
      <c r="EO27" s="36">
        <f>VLOOKUP($A27,'[6]Updated (2)'!$A$2:$Q$54,11,FALSE)</f>
        <v>0</v>
      </c>
      <c r="EP27" s="36">
        <f>VLOOKUP($A27,'[6]Updated (2)'!$A$2:$Q$54,12,FALSE)</f>
        <v>0</v>
      </c>
      <c r="EQ27" s="36">
        <f>VLOOKUP($A27,'[6]Updated (2)'!$A$2:$Q$54,13,FALSE)</f>
        <v>0</v>
      </c>
      <c r="ER27" s="48">
        <f>VLOOKUP($A27,'[6]Updated (2)'!$A$2:$Q$54,14,FALSE)</f>
        <v>0</v>
      </c>
      <c r="ES27" s="48">
        <f>VLOOKUP($A27,'[6]Updated (2)'!$A$2:$Q$54,15,FALSE)</f>
        <v>0</v>
      </c>
      <c r="ET27" s="48">
        <f>VLOOKUP($A27,'[6]Updated (2)'!$A$2:$Q$54,16,FALSE)</f>
        <v>0</v>
      </c>
      <c r="EU27" s="48">
        <f>VLOOKUP($A27,'[6]Updated (2)'!$A$2:$Q$54,17,FALSE)</f>
        <v>0</v>
      </c>
      <c r="EV27" s="37">
        <f>VLOOKUP($A27,[7]Totals!$A27:$F78,3,FALSE)-SUM(EF27:EI27)</f>
        <v>19587407.500000004</v>
      </c>
      <c r="EW27" s="37">
        <f>VLOOKUP($A27,[7]Totals!$A27:$F78,4,FALSE)-SUM(EJ27:EM27)</f>
        <v>20839091.859999992</v>
      </c>
      <c r="EX27" s="37">
        <f>VLOOKUP($A27,[7]Totals!$A27:$F78,5,FALSE)-SUM(EN27:EQ27)</f>
        <v>22895703.530000005</v>
      </c>
      <c r="EY27" s="37">
        <f>VLOOKUP($A27,[7]Totals!$A27:$F78,6,FALSE)-SUM(ER27:EU27)</f>
        <v>25481093.719999991</v>
      </c>
      <c r="EZ27" s="52">
        <f t="shared" si="2"/>
        <v>22101.69649304929</v>
      </c>
      <c r="FA27" s="52">
        <f t="shared" si="3"/>
        <v>23909.008558972</v>
      </c>
      <c r="FB27" s="52">
        <f t="shared" si="4"/>
        <v>26522.065553071465</v>
      </c>
      <c r="FC27" s="52">
        <f t="shared" si="5"/>
        <v>30152.285842760441</v>
      </c>
      <c r="FD27" s="37">
        <f>VLOOKUP($A27,[8]Totals!$A$2:$F$54,3)-SUM(EF27:EI27)</f>
        <v>18843196.500000011</v>
      </c>
      <c r="FE27" s="37">
        <f>VLOOKUP($A27,[8]Totals!$A$2:$F$54,4)-SUM(EJ27:EM27)</f>
        <v>20133893.989999998</v>
      </c>
      <c r="FF27" s="37">
        <f>VLOOKUP($A27,[8]Totals!$A$2:$F$54,5)-SUM(EN27:EQ27)</f>
        <v>21930338.79000001</v>
      </c>
      <c r="FG27" s="37">
        <f>VLOOKUP($A27,[8]Totals!$A$2:$F$54,6)-SUM(ER27:EU27)</f>
        <v>24619396.919999998</v>
      </c>
      <c r="FH27" s="52">
        <f t="shared" si="6"/>
        <v>21261.956693446482</v>
      </c>
      <c r="FI27" s="52">
        <f t="shared" si="7"/>
        <v>23099.924265718219</v>
      </c>
      <c r="FJ27" s="52">
        <f t="shared" si="8"/>
        <v>25403.800421652562</v>
      </c>
      <c r="FK27" s="52">
        <f t="shared" si="9"/>
        <v>29132.62285227434</v>
      </c>
      <c r="FL27" s="37">
        <f>VLOOKUP($A27,[9]Totals!$A$3:$F$54,3)-SUM(EF27:EI27)</f>
        <v>16521640.770000011</v>
      </c>
      <c r="FM27" s="37">
        <f>VLOOKUP($A27,[9]Totals!$A$3:$F$54,4)-SUM(EJ27:EM27)</f>
        <v>17739837.980000012</v>
      </c>
      <c r="FN27" s="37">
        <f>VLOOKUP($A27,[9]Totals!$A$3:$F$54,5)-SUM(EN27:EQ27)</f>
        <v>19555969.519999981</v>
      </c>
      <c r="FO27" s="37">
        <f>VLOOKUP($A27,[9]Totals!$A$3:$F$54,6)-SUM(ER27:EU27)</f>
        <v>20124808.17000002</v>
      </c>
      <c r="FP27" s="52">
        <f t="shared" si="10"/>
        <v>18642.400218902341</v>
      </c>
      <c r="FQ27" s="52">
        <f t="shared" si="11"/>
        <v>20353.187218907773</v>
      </c>
      <c r="FR27" s="52">
        <f t="shared" si="12"/>
        <v>22653.363976507906</v>
      </c>
      <c r="FS27" s="52">
        <f t="shared" si="13"/>
        <v>23814.086441520354</v>
      </c>
      <c r="FT27" s="37">
        <f>VLOOKUP($A27,[10]Calculations!$AF$3:$AJ$54,2,FALSE)-EI27</f>
        <v>3430749.6199999987</v>
      </c>
      <c r="FU27" s="37">
        <f>VLOOKUP($A27,[10]Calculations!$AF$3:$AJ$54,3,FALSE)-EM27</f>
        <v>4015752.4100000006</v>
      </c>
      <c r="FV27" s="37">
        <f>VLOOKUP($A27,[10]Calculations!$AF$3:$AJ$54,4,FALSE)-EQ27</f>
        <v>4090433.7700000005</v>
      </c>
      <c r="FW27" s="37">
        <f>VLOOKUP($A27,[10]Calculations!$AF$3:$AJ$54,5,FALSE)-EU27</f>
        <v>3977438.3619889505</v>
      </c>
      <c r="FX27" s="52">
        <f t="shared" si="14"/>
        <v>18346.254652406409</v>
      </c>
      <c r="FY27" s="52">
        <f t="shared" si="15"/>
        <v>21706.769783783788</v>
      </c>
      <c r="FZ27" s="52">
        <f t="shared" si="16"/>
        <v>22599.081602209946</v>
      </c>
      <c r="GA27" s="52">
        <f t="shared" si="17"/>
        <v>22599.081602209946</v>
      </c>
    </row>
    <row r="28" spans="1:183" ht="15.75" x14ac:dyDescent="0.25">
      <c r="A28" s="66" t="s">
        <v>279</v>
      </c>
      <c r="B28" s="66" t="s">
        <v>280</v>
      </c>
      <c r="C28" s="67">
        <v>2</v>
      </c>
      <c r="D28" s="68" t="s">
        <v>272</v>
      </c>
      <c r="E28">
        <v>10</v>
      </c>
      <c r="F28" s="27">
        <v>1262</v>
      </c>
      <c r="G28" s="27">
        <v>1177</v>
      </c>
      <c r="H28" s="27">
        <v>1300</v>
      </c>
      <c r="I28" s="27">
        <v>1297</v>
      </c>
      <c r="J28" s="23">
        <v>152</v>
      </c>
      <c r="K28" s="23">
        <v>124</v>
      </c>
      <c r="L28" s="23">
        <v>143</v>
      </c>
      <c r="M28" s="23">
        <v>151</v>
      </c>
      <c r="N28" s="27">
        <v>1110</v>
      </c>
      <c r="O28" s="27">
        <v>1053</v>
      </c>
      <c r="P28" s="27">
        <v>1156</v>
      </c>
      <c r="Q28" s="27">
        <v>1145</v>
      </c>
      <c r="R28" s="25">
        <f>VLOOKUP($A28,'ADM, LTADM'!$B:$L,2,FALSE)</f>
        <v>1625.1299999999997</v>
      </c>
      <c r="S28" s="25">
        <f>VLOOKUP($A28,'ADM, LTADM'!$B:$L,3,FALSE)</f>
        <v>1640.96</v>
      </c>
      <c r="T28" s="25">
        <f>VLOOKUP($A28,'ADM, LTADM'!$B:$L,4,FALSE)</f>
        <v>1649.3600000000001</v>
      </c>
      <c r="U28" s="25">
        <f>VLOOKUP($A28,'ADM, LTADM'!$B:$L,5,FALSE)</f>
        <v>1699.3899999999999</v>
      </c>
      <c r="V28" s="29">
        <f>VLOOKUP($A28,'ADM, LTADM'!$B:$L,7,FALSE)</f>
        <v>1640.67</v>
      </c>
      <c r="W28" s="29">
        <f>VLOOKUP($A28,'ADM, LTADM'!$B:$L,8,FALSE)</f>
        <v>1636.6900000000003</v>
      </c>
      <c r="X28" s="29">
        <f>VLOOKUP($A28,'ADM, LTADM'!$B:$L,9,FALSE)</f>
        <v>1647.5100000000002</v>
      </c>
      <c r="Y28" s="29">
        <f>VLOOKUP($A28,'ADM, LTADM'!$B:$L,10,FALSE)</f>
        <v>1675.4499999999998</v>
      </c>
      <c r="Z28" s="10">
        <v>1658.61</v>
      </c>
      <c r="AA28" s="10">
        <v>1652.7300000000002</v>
      </c>
      <c r="AB28" s="10">
        <v>1633.3000000000002</v>
      </c>
      <c r="AC28" s="10">
        <v>1637.23</v>
      </c>
      <c r="AD28" s="2">
        <v>0.43778383287920075</v>
      </c>
      <c r="AE28" s="2">
        <v>0.42829268292682926</v>
      </c>
      <c r="AF28" s="2">
        <v>0.46618575293056808</v>
      </c>
      <c r="AG28" s="2">
        <v>0.41989436619718312</v>
      </c>
      <c r="AH28" s="2">
        <f t="shared" si="0"/>
        <v>0.44408742291219933</v>
      </c>
      <c r="AI28" s="46">
        <f>VLOOKUP(A28,'[1]SU_SD IDEA 3-21'!$A:$B,2,FALSE)</f>
        <v>263</v>
      </c>
      <c r="AJ28" s="46">
        <f>VLOOKUP(A28,'[2]SU_SD IDEA 3-21'!$A:$B,2,FALSE)</f>
        <v>239</v>
      </c>
      <c r="AK28" s="46">
        <f>VLOOKUP(A28,'[3]SU_SD IDEA 3-21'!$A:$B,2,FALSE)</f>
        <v>249</v>
      </c>
      <c r="AL28" s="46">
        <f>VLOOKUP($A28,'[4]SU_SD IDEA 3-21'!$A:$B,2,FALSE)</f>
        <v>264</v>
      </c>
      <c r="AM28" s="22">
        <f t="shared" si="18"/>
        <v>0.16183320718957872</v>
      </c>
      <c r="AN28" s="22">
        <f t="shared" si="19"/>
        <v>0.14564645085803432</v>
      </c>
      <c r="AO28" s="22">
        <f t="shared" si="20"/>
        <v>0.15096764805742832</v>
      </c>
      <c r="AP28" s="22">
        <f t="shared" si="21"/>
        <v>0.15534986083241634</v>
      </c>
      <c r="AQ28" s="26" t="s">
        <v>222</v>
      </c>
      <c r="AR28" s="26" t="s">
        <v>222</v>
      </c>
      <c r="AS28" s="26" t="s">
        <v>222</v>
      </c>
      <c r="AT28" s="26" t="s">
        <v>222</v>
      </c>
      <c r="AU28" s="2">
        <v>0.49147727272727271</v>
      </c>
      <c r="AV28" s="2">
        <v>0.49450549450549453</v>
      </c>
      <c r="AW28" s="2">
        <v>0.32894736842105265</v>
      </c>
      <c r="AX28" s="2">
        <v>0.47503566333808844</v>
      </c>
      <c r="AY28" s="2">
        <v>0.38920454545454547</v>
      </c>
      <c r="AZ28" s="2">
        <v>0.31135531135531136</v>
      </c>
      <c r="BA28" s="2">
        <v>0.15789473684210525</v>
      </c>
      <c r="BB28" s="2">
        <v>0.33380884450784593</v>
      </c>
      <c r="BC28" s="2">
        <v>0.53669724770642202</v>
      </c>
      <c r="BD28" s="2">
        <v>0.71171171171171166</v>
      </c>
      <c r="BE28" s="2" t="s">
        <v>222</v>
      </c>
      <c r="BF28" s="8">
        <v>0.6</v>
      </c>
      <c r="BG28" s="2">
        <v>0.33789954337899542</v>
      </c>
      <c r="BH28" s="2">
        <v>0.74774774774774777</v>
      </c>
      <c r="BI28" s="2" t="s">
        <v>222</v>
      </c>
      <c r="BJ28" s="8">
        <v>0.48</v>
      </c>
      <c r="BK28" s="31">
        <f>VLOOKUP($A28,[5]FY20!$W:$AF,7,FALSE)</f>
        <v>13.614414414414414</v>
      </c>
      <c r="BL28" s="31">
        <f>VLOOKUP($A28,[5]FY20!$W:$AF,8,FALSE)</f>
        <v>1.3117117117117116</v>
      </c>
      <c r="BM28" s="31">
        <f>VLOOKUP($A28,[5]FY20!$W:$AF,9,FALSE)</f>
        <v>3.0540540540540544</v>
      </c>
      <c r="BN28" s="31">
        <f>VLOOKUP($A28,[5]FY20!$W:$AF,10,FALSE)</f>
        <v>5.166666666666667</v>
      </c>
      <c r="BO28" s="55">
        <f>VLOOKUP($A28,[5]FY21!$W:$AF,7,FALSE)</f>
        <v>12.500474833808168</v>
      </c>
      <c r="BP28" s="55">
        <f>VLOOKUP($A28,[5]FY21!$W:$AF,8,FALSE)</f>
        <v>1.2345679012345678</v>
      </c>
      <c r="BQ28" s="55">
        <f>VLOOKUP($A28,[5]FY21!$W:$AF,9,FALSE)</f>
        <v>3.1405508072174744</v>
      </c>
      <c r="BR28" s="55">
        <f>VLOOKUP($A28,[5]FY21!$W:$AF,10,FALSE)</f>
        <v>5.9107312440645776</v>
      </c>
      <c r="BS28" s="31">
        <f>VLOOKUP($A28,[5]FY22!$W:$AF,7,FALSE)</f>
        <v>10.60847018150389</v>
      </c>
      <c r="BT28" s="31">
        <f>VLOOKUP($A28,[5]FY22!$W:$AF,8,FALSE)</f>
        <v>1.2791702679343129</v>
      </c>
      <c r="BU28" s="31">
        <f>VLOOKUP($A28,[5]FY22!$W:$AF,9,FALSE)</f>
        <v>2.6361279170267937</v>
      </c>
      <c r="BV28" s="31">
        <f>VLOOKUP($A28,[5]FY22!$W:$AF,10,FALSE)</f>
        <v>5.5151253241140878</v>
      </c>
      <c r="BW28" s="55">
        <f>VLOOKUP($A28,[5]FY23!$W:$AF,7,FALSE)</f>
        <v>10.846422338568935</v>
      </c>
      <c r="BX28" s="55">
        <f>VLOOKUP($A28,[5]FY23!$W:$AF,8,FALSE)</f>
        <v>1.5706806282722512</v>
      </c>
      <c r="BY28" s="55">
        <f>VLOOKUP($A28,[5]FY23!$W:$AF,9,FALSE)</f>
        <v>2.2862129144851662</v>
      </c>
      <c r="BZ28" s="55">
        <f>VLOOKUP($A28,[5]FY23!$W:$AF,10,FALSE)</f>
        <v>5.2364746945898784</v>
      </c>
      <c r="CA28" s="37">
        <f>VLOOKUP($A28,[5]FY20!$W:$AF,3,FALSE)</f>
        <v>55599.814716781366</v>
      </c>
      <c r="CB28" s="37">
        <f>VLOOKUP($A28,[5]FY20!$W:$AF,4,FALSE)</f>
        <v>87586.126373626379</v>
      </c>
      <c r="CC28" s="37">
        <f>VLOOKUP($A28,[5]FY20!$W:$AF,5,FALSE)</f>
        <v>153207.10914454274</v>
      </c>
      <c r="CD28" s="37">
        <f>VLOOKUP($A28,[5]FY20!$W:$AF,6,FALSE)</f>
        <v>38643.923278116818</v>
      </c>
      <c r="CE28" s="52">
        <f>VLOOKUP($A28,[5]FY21!$W:$AF,3,FALSE)</f>
        <v>53559.720428473753</v>
      </c>
      <c r="CF28" s="52">
        <f>VLOOKUP($A28,[5]FY21!$W:$AF,4,FALSE)</f>
        <v>81269.153846153844</v>
      </c>
      <c r="CG28" s="52">
        <f>VLOOKUP($A28,[5]FY21!$W:$AF,5,FALSE)</f>
        <v>56045.055941941326</v>
      </c>
      <c r="CH28" s="52">
        <f>VLOOKUP($A28,[5]FY21!$W:$AF,6,FALSE)</f>
        <v>41263.849614395884</v>
      </c>
      <c r="CI28" s="37">
        <f>VLOOKUP($A28,[5]FY22!$W:$AF,3,FALSE)</f>
        <v>56369.749063060124</v>
      </c>
      <c r="CJ28" s="37">
        <f>VLOOKUP($A28,[5]FY22!$W:$AF,4,FALSE)</f>
        <v>92026.351351351346</v>
      </c>
      <c r="CK28" s="37">
        <f>VLOOKUP($A28,[5]FY22!$W:$AF,5,FALSE)</f>
        <v>56050.098360655735</v>
      </c>
      <c r="CL28" s="37">
        <f>VLOOKUP($A28,[5]FY22!$W:$AF,6,FALSE)</f>
        <v>41323.287885911297</v>
      </c>
      <c r="CM28" s="52">
        <f>VLOOKUP($A28,[5]FY23!$W:$AF,3,FALSE)</f>
        <v>58772.751407884156</v>
      </c>
      <c r="CN28" s="52">
        <f>VLOOKUP($A28,[5]FY23!$W:$AF,4,FALSE)</f>
        <v>87001</v>
      </c>
      <c r="CO28" s="52">
        <f>VLOOKUP($A28,[5]FY23!$W:$AF,5,FALSE)</f>
        <v>60460.725190839687</v>
      </c>
      <c r="CP28" s="52">
        <f>VLOOKUP($A28,[5]FY23!$W:$AF,6,FALSE)</f>
        <v>45698.450258290286</v>
      </c>
      <c r="CQ28" s="5">
        <v>0.78700000000000003</v>
      </c>
      <c r="CR28" s="4" t="s">
        <v>222</v>
      </c>
      <c r="CS28" s="4">
        <v>0.92800000000000005</v>
      </c>
      <c r="CT28" s="4">
        <v>0.86199999999999999</v>
      </c>
      <c r="CU28" s="4">
        <v>0.86199999999999999</v>
      </c>
      <c r="CV28" s="4">
        <v>0.83599999999999997</v>
      </c>
      <c r="CW28" s="4">
        <v>0.70299999999999996</v>
      </c>
      <c r="CX28" s="4">
        <v>0.92800000000000005</v>
      </c>
      <c r="CY28" t="s">
        <v>223</v>
      </c>
      <c r="CZ28" t="s">
        <v>223</v>
      </c>
      <c r="DA28" t="s">
        <v>228</v>
      </c>
      <c r="DB28">
        <v>0</v>
      </c>
      <c r="DC28">
        <v>2</v>
      </c>
      <c r="DD28">
        <v>5</v>
      </c>
      <c r="DE28">
        <v>0</v>
      </c>
      <c r="DF28">
        <v>3</v>
      </c>
      <c r="DG28">
        <v>0</v>
      </c>
      <c r="DH28">
        <v>2</v>
      </c>
      <c r="DI28">
        <v>6</v>
      </c>
      <c r="DJ28">
        <v>0</v>
      </c>
      <c r="DK28">
        <v>2</v>
      </c>
      <c r="DL28">
        <v>2</v>
      </c>
      <c r="DM28">
        <v>2</v>
      </c>
      <c r="DN28">
        <v>3</v>
      </c>
      <c r="DO28">
        <v>0</v>
      </c>
      <c r="DP28">
        <v>0</v>
      </c>
      <c r="DQ28" s="5">
        <v>0</v>
      </c>
      <c r="DR28" s="5">
        <v>0.2</v>
      </c>
      <c r="DS28" s="5">
        <v>0.5</v>
      </c>
      <c r="DT28" s="5">
        <v>0</v>
      </c>
      <c r="DU28" s="5">
        <v>0.3</v>
      </c>
      <c r="DV28" s="5">
        <v>0</v>
      </c>
      <c r="DW28" s="5">
        <v>0.2</v>
      </c>
      <c r="DX28" s="5">
        <v>0.6</v>
      </c>
      <c r="DY28" s="5">
        <v>0</v>
      </c>
      <c r="DZ28" s="5">
        <v>0.2</v>
      </c>
      <c r="EA28" s="5">
        <v>0.2</v>
      </c>
      <c r="EB28" s="5">
        <v>0.2</v>
      </c>
      <c r="EC28" s="5">
        <v>0.3</v>
      </c>
      <c r="ED28" s="5">
        <v>0</v>
      </c>
      <c r="EE28" s="5">
        <v>0</v>
      </c>
      <c r="EF28" s="36">
        <f>VLOOKUP($A28,'[6]Updated (2)'!$A$2:$Q$54,2,FALSE)</f>
        <v>1069382.58</v>
      </c>
      <c r="EG28" s="36">
        <f>VLOOKUP($A28,'[6]Updated (2)'!$A$2:$Q$54,3,FALSE)</f>
        <v>0</v>
      </c>
      <c r="EH28" s="36">
        <f>VLOOKUP($A28,'[6]Updated (2)'!$A$2:$Q$54,4,FALSE)</f>
        <v>0</v>
      </c>
      <c r="EI28" s="36">
        <f>VLOOKUP($A28,'[6]Updated (2)'!$A$2:$Q$54,5,FALSE)</f>
        <v>0</v>
      </c>
      <c r="EJ28" s="48">
        <f>VLOOKUP($A28,'[6]Updated (2)'!$A$2:$Q$54,6,FALSE)</f>
        <v>994664.09</v>
      </c>
      <c r="EK28" s="48">
        <f>VLOOKUP($A28,'[6]Updated (2)'!$A$2:$Q$54,7,FALSE)</f>
        <v>0</v>
      </c>
      <c r="EL28" s="48">
        <f>VLOOKUP($A28,'[6]Updated (2)'!$A$2:$Q$54,8,FALSE)</f>
        <v>0</v>
      </c>
      <c r="EM28" s="48">
        <f>VLOOKUP($A28,'[6]Updated (2)'!$A$2:$Q$54,9,FALSE)</f>
        <v>0</v>
      </c>
      <c r="EN28" s="36">
        <f>VLOOKUP($A28,'[6]Updated (2)'!$A$2:$Q$54,10,FALSE)</f>
        <v>957017.89</v>
      </c>
      <c r="EO28" s="36">
        <f>VLOOKUP($A28,'[6]Updated (2)'!$A$2:$Q$54,11,FALSE)</f>
        <v>0</v>
      </c>
      <c r="EP28" s="36">
        <f>VLOOKUP($A28,'[6]Updated (2)'!$A$2:$Q$54,12,FALSE)</f>
        <v>0</v>
      </c>
      <c r="EQ28" s="36">
        <f>VLOOKUP($A28,'[6]Updated (2)'!$A$2:$Q$54,13,FALSE)</f>
        <v>0</v>
      </c>
      <c r="ER28" s="48">
        <f>VLOOKUP($A28,'[6]Updated (2)'!$A$2:$Q$54,14,FALSE)</f>
        <v>766829.98</v>
      </c>
      <c r="ES28" s="48">
        <f>VLOOKUP($A28,'[6]Updated (2)'!$A$2:$Q$54,15,FALSE)</f>
        <v>0</v>
      </c>
      <c r="ET28" s="48">
        <f>VLOOKUP($A28,'[6]Updated (2)'!$A$2:$Q$54,16,FALSE)</f>
        <v>0</v>
      </c>
      <c r="EU28" s="48">
        <f>VLOOKUP($A28,'[6]Updated (2)'!$A$2:$Q$54,17,FALSE)</f>
        <v>0</v>
      </c>
      <c r="EV28" s="37">
        <f>VLOOKUP($A28,[7]Totals!$A28:$F79,3,FALSE)-SUM(EF28:EI28)</f>
        <v>36845394.19000002</v>
      </c>
      <c r="EW28" s="37">
        <f>VLOOKUP($A28,[7]Totals!$A28:$F79,4,FALSE)-SUM(EJ28:EM28)</f>
        <v>38261678.340000071</v>
      </c>
      <c r="EX28" s="37">
        <f>VLOOKUP($A28,[7]Totals!$A28:$F79,5,FALSE)-SUM(EN28:EQ28)</f>
        <v>38862285.480000123</v>
      </c>
      <c r="EY28" s="37">
        <f>VLOOKUP($A28,[7]Totals!$A28:$F79,6,FALSE)-SUM(ER28:EU28)</f>
        <v>41290521.410000004</v>
      </c>
      <c r="EZ28" s="52">
        <f t="shared" si="2"/>
        <v>22457.529052155533</v>
      </c>
      <c r="FA28" s="52">
        <f t="shared" si="3"/>
        <v>23377.474255967878</v>
      </c>
      <c r="FB28" s="52">
        <f t="shared" si="4"/>
        <v>23588.497478012345</v>
      </c>
      <c r="FC28" s="52">
        <f t="shared" si="5"/>
        <v>24644.436664776633</v>
      </c>
      <c r="FD28" s="37">
        <f>VLOOKUP($A28,[8]Totals!$A$2:$F$54,3)-SUM(EF28:EI28)</f>
        <v>35757770.850000001</v>
      </c>
      <c r="FE28" s="37">
        <f>VLOOKUP($A28,[8]Totals!$A$2:$F$54,4)-SUM(EJ28:EM28)</f>
        <v>36635887.540000014</v>
      </c>
      <c r="FF28" s="37">
        <f>VLOOKUP($A28,[8]Totals!$A$2:$F$54,5)-SUM(EN28:EQ28)</f>
        <v>37573575.930000104</v>
      </c>
      <c r="FG28" s="37">
        <f>VLOOKUP($A28,[8]Totals!$A$2:$F$54,6)-SUM(ER28:EU28)</f>
        <v>39302266.150000006</v>
      </c>
      <c r="FH28" s="52">
        <f t="shared" si="6"/>
        <v>21794.614913419518</v>
      </c>
      <c r="FI28" s="52">
        <f t="shared" si="7"/>
        <v>22384.13355003086</v>
      </c>
      <c r="FJ28" s="52">
        <f t="shared" si="8"/>
        <v>22806.280951253771</v>
      </c>
      <c r="FK28" s="52">
        <f t="shared" si="9"/>
        <v>23457.737413829127</v>
      </c>
      <c r="FL28" s="37">
        <f>VLOOKUP($A28,[9]Totals!$A$3:$F$54,3)-SUM(EF28:EI28)</f>
        <v>25336135.50999999</v>
      </c>
      <c r="FM28" s="37">
        <f>VLOOKUP($A28,[9]Totals!$A$3:$F$54,4)-SUM(EJ28:EM28)</f>
        <v>33091670.049999963</v>
      </c>
      <c r="FN28" s="37">
        <f>VLOOKUP($A28,[9]Totals!$A$3:$F$54,5)-SUM(EN28:EQ28)</f>
        <v>32832535.900000066</v>
      </c>
      <c r="FO28" s="37">
        <f>VLOOKUP($A28,[9]Totals!$A$3:$F$54,6)-SUM(ER28:EU28)</f>
        <v>34352177.900000043</v>
      </c>
      <c r="FP28" s="52">
        <f t="shared" si="10"/>
        <v>15442.554267463895</v>
      </c>
      <c r="FQ28" s="52">
        <f t="shared" si="11"/>
        <v>20218.654754412844</v>
      </c>
      <c r="FR28" s="52">
        <f t="shared" si="12"/>
        <v>19928.580645944523</v>
      </c>
      <c r="FS28" s="52">
        <f t="shared" si="13"/>
        <v>20503.254588319585</v>
      </c>
      <c r="FT28" s="37">
        <f>VLOOKUP($A28,[10]Calculations!$AF$3:$AJ$54,2,FALSE)-EI28</f>
        <v>7406778.8500000006</v>
      </c>
      <c r="FU28" s="37">
        <f>VLOOKUP($A28,[10]Calculations!$AF$3:$AJ$54,3,FALSE)-EM28</f>
        <v>7023154.3000000007</v>
      </c>
      <c r="FV28" s="37">
        <f>VLOOKUP($A28,[10]Calculations!$AF$3:$AJ$54,4,FALSE)-EQ28</f>
        <v>7020465.3199999994</v>
      </c>
      <c r="FW28" s="37">
        <f>VLOOKUP($A28,[10]Calculations!$AF$3:$AJ$54,5,FALSE)-EU28</f>
        <v>7443384.9175903611</v>
      </c>
      <c r="FX28" s="52">
        <f t="shared" si="14"/>
        <v>28162.657224334602</v>
      </c>
      <c r="FY28" s="52">
        <f t="shared" si="15"/>
        <v>29385.582845188288</v>
      </c>
      <c r="FZ28" s="52">
        <f t="shared" si="16"/>
        <v>28194.639839357427</v>
      </c>
      <c r="GA28" s="52">
        <f t="shared" si="17"/>
        <v>28194.639839357427</v>
      </c>
    </row>
    <row r="29" spans="1:183" ht="15.75" x14ac:dyDescent="0.25">
      <c r="A29" s="66" t="s">
        <v>281</v>
      </c>
      <c r="B29" s="66" t="s">
        <v>282</v>
      </c>
      <c r="C29" s="67">
        <v>4</v>
      </c>
      <c r="D29" s="68" t="s">
        <v>240</v>
      </c>
      <c r="E29">
        <v>11</v>
      </c>
      <c r="F29" s="27">
        <v>2684</v>
      </c>
      <c r="G29" s="27">
        <v>2554</v>
      </c>
      <c r="H29" s="27">
        <v>2600</v>
      </c>
      <c r="I29" s="27">
        <v>2610</v>
      </c>
      <c r="J29" s="23">
        <v>296</v>
      </c>
      <c r="K29" s="23">
        <v>210</v>
      </c>
      <c r="L29" s="23">
        <v>259</v>
      </c>
      <c r="M29" s="23">
        <v>286</v>
      </c>
      <c r="N29" s="27">
        <v>2388</v>
      </c>
      <c r="O29" s="27">
        <v>2344</v>
      </c>
      <c r="P29" s="27">
        <v>2341</v>
      </c>
      <c r="Q29" s="27">
        <v>2323</v>
      </c>
      <c r="R29" s="25">
        <f>VLOOKUP($A29,'ADM, LTADM'!$B:$L,2,FALSE)</f>
        <v>2701.9</v>
      </c>
      <c r="S29" s="25">
        <f>VLOOKUP($A29,'ADM, LTADM'!$B:$L,3,FALSE)</f>
        <v>2719.8900000000003</v>
      </c>
      <c r="T29" s="25">
        <f>VLOOKUP($A29,'ADM, LTADM'!$B:$L,4,FALSE)</f>
        <v>2622.8</v>
      </c>
      <c r="U29" s="25">
        <f>VLOOKUP($A29,'ADM, LTADM'!$B:$L,5,FALSE)</f>
        <v>2613.58</v>
      </c>
      <c r="V29" s="29">
        <f>VLOOKUP($A29,'ADM, LTADM'!$B:$L,7,FALSE)</f>
        <v>2701.3499999999995</v>
      </c>
      <c r="W29" s="29">
        <f>VLOOKUP($A29,'ADM, LTADM'!$B:$L,8,FALSE)</f>
        <v>2720.95</v>
      </c>
      <c r="X29" s="29">
        <f>VLOOKUP($A29,'ADM, LTADM'!$B:$L,9,FALSE)</f>
        <v>2680.36</v>
      </c>
      <c r="Y29" s="29">
        <f>VLOOKUP($A29,'ADM, LTADM'!$B:$L,10,FALSE)</f>
        <v>2627.2599999999998</v>
      </c>
      <c r="Z29" s="10">
        <v>2702.16</v>
      </c>
      <c r="AA29" s="10">
        <v>2721.5099999999993</v>
      </c>
      <c r="AB29" s="10">
        <v>2742.5299999999997</v>
      </c>
      <c r="AC29" s="10">
        <v>2709.98</v>
      </c>
      <c r="AD29" s="2">
        <v>0.55358649789029535</v>
      </c>
      <c r="AE29" s="2">
        <v>0.57766367137355579</v>
      </c>
      <c r="AF29" s="2">
        <v>0.61810344827586206</v>
      </c>
      <c r="AG29" s="2">
        <v>0.60298507462686568</v>
      </c>
      <c r="AH29" s="2">
        <f t="shared" si="0"/>
        <v>0.58311787251323766</v>
      </c>
      <c r="AI29" s="46">
        <f>VLOOKUP(A29,'[1]SU_SD IDEA 3-21'!$A:$B,2,FALSE)</f>
        <v>677</v>
      </c>
      <c r="AJ29" s="46">
        <f>VLOOKUP(A29,'[2]SU_SD IDEA 3-21'!$A:$B,2,FALSE)</f>
        <v>635</v>
      </c>
      <c r="AK29" s="46">
        <f>VLOOKUP(A29,'[3]SU_SD IDEA 3-21'!$A:$B,2,FALSE)</f>
        <v>612</v>
      </c>
      <c r="AL29" s="46">
        <f>VLOOKUP($A29,'[4]SU_SD IDEA 3-21'!$A:$B,2,FALSE)</f>
        <v>594</v>
      </c>
      <c r="AM29" s="22">
        <f t="shared" si="18"/>
        <v>0.25056441763203668</v>
      </c>
      <c r="AN29" s="22">
        <f t="shared" si="19"/>
        <v>0.23346532396530739</v>
      </c>
      <c r="AO29" s="22">
        <f t="shared" si="20"/>
        <v>0.23333841695897511</v>
      </c>
      <c r="AP29" s="22">
        <f t="shared" si="21"/>
        <v>0.22727446644066759</v>
      </c>
      <c r="AQ29" s="26" t="s">
        <v>222</v>
      </c>
      <c r="AR29" s="26" t="s">
        <v>222</v>
      </c>
      <c r="AS29" s="26">
        <v>5.6034482758620689E-3</v>
      </c>
      <c r="AT29" s="26">
        <v>6.8230277185501063E-3</v>
      </c>
      <c r="AU29" s="2">
        <v>0.37857142857142856</v>
      </c>
      <c r="AV29" s="2">
        <v>0.45488029465930019</v>
      </c>
      <c r="AW29" s="2">
        <v>0.46706586826347307</v>
      </c>
      <c r="AX29" s="2">
        <v>0.42283464566929135</v>
      </c>
      <c r="AY29" s="2">
        <v>0.33931777378815081</v>
      </c>
      <c r="AZ29" s="2">
        <v>0.34854014598540145</v>
      </c>
      <c r="BA29" s="2">
        <v>0.33333333333333331</v>
      </c>
      <c r="BB29" s="2">
        <v>0.34251968503937008</v>
      </c>
      <c r="BC29" s="2">
        <v>0.28813559322033899</v>
      </c>
      <c r="BD29" s="2" t="s">
        <v>222</v>
      </c>
      <c r="BE29" s="2" t="s">
        <v>222</v>
      </c>
      <c r="BF29" s="8">
        <v>0.28999999999999998</v>
      </c>
      <c r="BG29" s="2">
        <v>0.19209039548022599</v>
      </c>
      <c r="BH29" s="2" t="s">
        <v>222</v>
      </c>
      <c r="BI29" s="2" t="s">
        <v>222</v>
      </c>
      <c r="BJ29" s="8">
        <v>0.19</v>
      </c>
      <c r="BK29" s="31">
        <f>VLOOKUP($A29,[5]FY20!$W:$AF,7,FALSE)</f>
        <v>10.117671691792294</v>
      </c>
      <c r="BL29" s="31">
        <f>VLOOKUP($A29,[5]FY20!$W:$AF,8,FALSE)</f>
        <v>1.0636515912897822</v>
      </c>
      <c r="BM29" s="31">
        <f>VLOOKUP($A29,[5]FY20!$W:$AF,9,FALSE)</f>
        <v>3.4443048576214408</v>
      </c>
      <c r="BN29" s="31">
        <f>VLOOKUP($A29,[5]FY20!$W:$AF,10,FALSE)</f>
        <v>5.6072026800670018</v>
      </c>
      <c r="BO29" s="55">
        <f>VLOOKUP($A29,[5]FY21!$W:$AF,7,FALSE)</f>
        <v>10.697598122866895</v>
      </c>
      <c r="BP29" s="55">
        <f>VLOOKUP($A29,[5]FY21!$W:$AF,8,FALSE)</f>
        <v>1.0670435153583617</v>
      </c>
      <c r="BQ29" s="55">
        <f>VLOOKUP($A29,[5]FY21!$W:$AF,9,FALSE)</f>
        <v>3.3098720136518773</v>
      </c>
      <c r="BR29" s="55">
        <f>VLOOKUP($A29,[5]FY21!$W:$AF,10,FALSE)</f>
        <v>6.1446245733788425</v>
      </c>
      <c r="BS29" s="31">
        <f>VLOOKUP($A29,[5]FY22!$W:$AF,7,FALSE)</f>
        <v>10.636052968816744</v>
      </c>
      <c r="BT29" s="31">
        <f>VLOOKUP($A29,[5]FY22!$W:$AF,8,FALSE)</f>
        <v>1.1747116616830415</v>
      </c>
      <c r="BU29" s="31">
        <f>VLOOKUP($A29,[5]FY22!$W:$AF,9,FALSE)</f>
        <v>3.7249038872276796</v>
      </c>
      <c r="BV29" s="31">
        <f>VLOOKUP($A29,[5]FY22!$W:$AF,10,FALSE)</f>
        <v>6.5839384878257166</v>
      </c>
      <c r="BW29" s="55">
        <f>VLOOKUP($A29,[5]FY23!$W:$AF,7,FALSE)</f>
        <v>10.583046471600689</v>
      </c>
      <c r="BX29" s="55">
        <f>VLOOKUP($A29,[5]FY23!$W:$AF,8,FALSE)</f>
        <v>1.0542168674698795</v>
      </c>
      <c r="BY29" s="55">
        <f>VLOOKUP($A29,[5]FY23!$W:$AF,9,FALSE)</f>
        <v>3.9995697074010321</v>
      </c>
      <c r="BZ29" s="55">
        <f>VLOOKUP($A29,[5]FY23!$W:$AF,10,FALSE)</f>
        <v>6.330895008605852</v>
      </c>
      <c r="CA29" s="37">
        <f>VLOOKUP($A29,[5]FY20!$W:$AF,3,FALSE)</f>
        <v>49730.540250817437</v>
      </c>
      <c r="CB29" s="37">
        <f>VLOOKUP($A29,[5]FY20!$W:$AF,4,FALSE)</f>
        <v>84912.51968503937</v>
      </c>
      <c r="CC29" s="37">
        <f>VLOOKUP($A29,[5]FY20!$W:$AF,5,FALSE)</f>
        <v>35903.095805471123</v>
      </c>
      <c r="CD29" s="37">
        <f>VLOOKUP($A29,[5]FY20!$W:$AF,6,FALSE)</f>
        <v>37757.697386109023</v>
      </c>
      <c r="CE29" s="52">
        <f>VLOOKUP($A29,[5]FY21!$W:$AF,3,FALSE)</f>
        <v>52625.31021723881</v>
      </c>
      <c r="CF29" s="52">
        <f>VLOOKUP($A29,[5]FY21!$W:$AF,4,FALSE)</f>
        <v>83927.55332547029</v>
      </c>
      <c r="CG29" s="52">
        <f>VLOOKUP($A29,[5]FY21!$W:$AF,5,FALSE)</f>
        <v>38981.844054269342</v>
      </c>
      <c r="CH29" s="52">
        <f>VLOOKUP($A29,[5]FY21!$W:$AF,6,FALSE)</f>
        <v>38124.599041866262</v>
      </c>
      <c r="CI29" s="37">
        <f>VLOOKUP($A29,[5]FY22!$W:$AF,3,FALSE)</f>
        <v>55491.622153500146</v>
      </c>
      <c r="CJ29" s="37">
        <f>VLOOKUP($A29,[5]FY22!$W:$AF,4,FALSE)</f>
        <v>85434.4</v>
      </c>
      <c r="CK29" s="37">
        <f>VLOOKUP($A29,[5]FY22!$W:$AF,5,FALSE)</f>
        <v>35143.635321100919</v>
      </c>
      <c r="CL29" s="37">
        <f>VLOOKUP($A29,[5]FY22!$W:$AF,6,FALSE)</f>
        <v>40021.910075909938</v>
      </c>
      <c r="CM29" s="52">
        <f>VLOOKUP($A29,[5]FY23!$W:$AF,3,FALSE)</f>
        <v>57496.584671681238</v>
      </c>
      <c r="CN29" s="52">
        <f>VLOOKUP($A29,[5]FY23!$W:$AF,4,FALSE)</f>
        <v>87273.673469387752</v>
      </c>
      <c r="CO29" s="52">
        <f>VLOOKUP($A29,[5]FY23!$W:$AF,5,FALSE)</f>
        <v>36937.633136094679</v>
      </c>
      <c r="CP29" s="52">
        <f>VLOOKUP($A29,[5]FY23!$W:$AF,6,FALSE)</f>
        <v>41829.185074423978</v>
      </c>
      <c r="CQ29" s="5">
        <v>0.74099999999999999</v>
      </c>
      <c r="CR29" s="4">
        <v>0.81200000000000006</v>
      </c>
      <c r="CS29" s="4">
        <v>0.70899999999999996</v>
      </c>
      <c r="CT29" s="4">
        <v>0.84099999999999997</v>
      </c>
      <c r="CU29" s="4">
        <v>0.69599999999999995</v>
      </c>
      <c r="CV29" s="4">
        <v>0.77600000000000002</v>
      </c>
      <c r="CW29" s="4">
        <v>0.79500000000000004</v>
      </c>
      <c r="CX29" s="4">
        <v>0.73599999999999999</v>
      </c>
      <c r="CY29" t="s">
        <v>223</v>
      </c>
      <c r="CZ29" t="s">
        <v>223</v>
      </c>
      <c r="DA29" t="s">
        <v>223</v>
      </c>
      <c r="DB29">
        <v>0</v>
      </c>
      <c r="DC29">
        <v>0</v>
      </c>
      <c r="DD29">
        <v>11</v>
      </c>
      <c r="DE29">
        <v>0</v>
      </c>
      <c r="DF29">
        <v>0</v>
      </c>
      <c r="DG29">
        <v>0</v>
      </c>
      <c r="DH29">
        <v>0</v>
      </c>
      <c r="DI29">
        <v>11</v>
      </c>
      <c r="DJ29">
        <v>0</v>
      </c>
      <c r="DK29">
        <v>0</v>
      </c>
      <c r="DL29">
        <v>0</v>
      </c>
      <c r="DM29">
        <v>1</v>
      </c>
      <c r="DN29">
        <v>5</v>
      </c>
      <c r="DO29">
        <v>5</v>
      </c>
      <c r="DP29">
        <v>0</v>
      </c>
      <c r="DQ29" s="5">
        <v>0</v>
      </c>
      <c r="DR29" s="5">
        <v>0</v>
      </c>
      <c r="DS29" s="5">
        <v>1</v>
      </c>
      <c r="DT29" s="5">
        <v>0</v>
      </c>
      <c r="DU29" s="5">
        <v>0</v>
      </c>
      <c r="DV29" s="5">
        <v>0</v>
      </c>
      <c r="DW29" s="5">
        <v>0</v>
      </c>
      <c r="DX29" s="5">
        <v>1</v>
      </c>
      <c r="DY29" s="5">
        <v>0</v>
      </c>
      <c r="DZ29" s="5">
        <v>0</v>
      </c>
      <c r="EA29" s="5">
        <v>0</v>
      </c>
      <c r="EB29" s="5">
        <v>9.0999999999999998E-2</v>
      </c>
      <c r="EC29" s="5">
        <v>0.45500000000000002</v>
      </c>
      <c r="ED29" s="5">
        <v>0.45500000000000002</v>
      </c>
      <c r="EE29" s="5">
        <v>0</v>
      </c>
      <c r="EF29" s="36">
        <f>VLOOKUP($A29,'[6]Updated (2)'!$A$2:$Q$54,2,FALSE)</f>
        <v>4151213</v>
      </c>
      <c r="EG29" s="36">
        <f>VLOOKUP($A29,'[6]Updated (2)'!$A$2:$Q$54,3,FALSE)</f>
        <v>809055</v>
      </c>
      <c r="EH29" s="36">
        <f>VLOOKUP($A29,'[6]Updated (2)'!$A$2:$Q$54,4,FALSE)</f>
        <v>4073116</v>
      </c>
      <c r="EI29" s="36">
        <f>VLOOKUP($A29,'[6]Updated (2)'!$A$2:$Q$54,5,FALSE)</f>
        <v>89218</v>
      </c>
      <c r="EJ29" s="48">
        <f>VLOOKUP($A29,'[6]Updated (2)'!$A$2:$Q$54,6,FALSE)</f>
        <v>3634789</v>
      </c>
      <c r="EK29" s="48">
        <f>VLOOKUP($A29,'[6]Updated (2)'!$A$2:$Q$54,7,FALSE)</f>
        <v>675126</v>
      </c>
      <c r="EL29" s="48">
        <f>VLOOKUP($A29,'[6]Updated (2)'!$A$2:$Q$54,8,FALSE)</f>
        <v>8063973</v>
      </c>
      <c r="EM29" s="48">
        <f>VLOOKUP($A29,'[6]Updated (2)'!$A$2:$Q$54,9,FALSE)</f>
        <v>53569</v>
      </c>
      <c r="EN29" s="36">
        <f>VLOOKUP($A29,'[6]Updated (2)'!$A$2:$Q$54,10,FALSE)</f>
        <v>4339504</v>
      </c>
      <c r="EO29" s="36">
        <f>VLOOKUP($A29,'[6]Updated (2)'!$A$2:$Q$54,11,FALSE)</f>
        <v>616327</v>
      </c>
      <c r="EP29" s="36">
        <f>VLOOKUP($A29,'[6]Updated (2)'!$A$2:$Q$54,12,FALSE)</f>
        <v>6318105</v>
      </c>
      <c r="EQ29" s="36">
        <f>VLOOKUP($A29,'[6]Updated (2)'!$A$2:$Q$54,13,FALSE)</f>
        <v>112000</v>
      </c>
      <c r="ER29" s="48">
        <f>VLOOKUP($A29,'[6]Updated (2)'!$A$2:$Q$54,14,FALSE)</f>
        <v>2110455</v>
      </c>
      <c r="ES29" s="48">
        <f>VLOOKUP($A29,'[6]Updated (2)'!$A$2:$Q$54,15,FALSE)</f>
        <v>270544</v>
      </c>
      <c r="ET29" s="48">
        <f>VLOOKUP($A29,'[6]Updated (2)'!$A$2:$Q$54,16,FALSE)</f>
        <v>3484149</v>
      </c>
      <c r="EU29" s="48">
        <f>VLOOKUP($A29,'[6]Updated (2)'!$A$2:$Q$54,17,FALSE)</f>
        <v>280</v>
      </c>
      <c r="EV29" s="37">
        <f>VLOOKUP($A29,[7]Totals!$A29:$F80,3,FALSE)-SUM(EF29:EI29)</f>
        <v>55569858.219999924</v>
      </c>
      <c r="EW29" s="37">
        <f>VLOOKUP($A29,[7]Totals!$A29:$F80,4,FALSE)-SUM(EJ29:EM29)</f>
        <v>59670691.700000033</v>
      </c>
      <c r="EX29" s="37">
        <f>VLOOKUP($A29,[7]Totals!$A29:$F80,5,FALSE)-SUM(EN29:EQ29)</f>
        <v>63558947.640000001</v>
      </c>
      <c r="EY29" s="37">
        <f>VLOOKUP($A29,[7]Totals!$A29:$F80,6,FALSE)-SUM(ER29:EU29)</f>
        <v>67175824.069999978</v>
      </c>
      <c r="EZ29" s="52">
        <f t="shared" si="2"/>
        <v>20571.143398671011</v>
      </c>
      <c r="FA29" s="52">
        <f t="shared" si="3"/>
        <v>21930.09489332771</v>
      </c>
      <c r="FB29" s="52">
        <f t="shared" si="4"/>
        <v>23712.839931949438</v>
      </c>
      <c r="FC29" s="52">
        <f t="shared" si="5"/>
        <v>25568.776622793321</v>
      </c>
      <c r="FD29" s="37">
        <f>VLOOKUP($A29,[8]Totals!$A$2:$F$54,3)-SUM(EF29:EI29)</f>
        <v>53115633.169999905</v>
      </c>
      <c r="FE29" s="37">
        <f>VLOOKUP($A29,[8]Totals!$A$2:$F$54,4)-SUM(EJ29:EM29)</f>
        <v>57430373.440000057</v>
      </c>
      <c r="FF29" s="37">
        <f>VLOOKUP($A29,[8]Totals!$A$2:$F$54,5)-SUM(EN29:EQ29)</f>
        <v>61691824.640000001</v>
      </c>
      <c r="FG29" s="37">
        <f>VLOOKUP($A29,[8]Totals!$A$2:$F$54,6)-SUM(ER29:EU29)</f>
        <v>65142181.069999963</v>
      </c>
      <c r="FH29" s="52">
        <f t="shared" si="6"/>
        <v>19662.625416921139</v>
      </c>
      <c r="FI29" s="52">
        <f t="shared" si="7"/>
        <v>21106.736044396283</v>
      </c>
      <c r="FJ29" s="52">
        <f t="shared" si="8"/>
        <v>23016.245817725976</v>
      </c>
      <c r="FK29" s="52">
        <f t="shared" si="9"/>
        <v>24794.721904189144</v>
      </c>
      <c r="FL29" s="37">
        <f>VLOOKUP($A29,[9]Totals!$A$3:$F$54,3)-SUM(EF29:EI29)</f>
        <v>50398299.949999943</v>
      </c>
      <c r="FM29" s="37">
        <f>VLOOKUP($A29,[9]Totals!$A$3:$F$54,4)-SUM(EJ29:EM29)</f>
        <v>44043296.150000028</v>
      </c>
      <c r="FN29" s="37">
        <f>VLOOKUP($A29,[9]Totals!$A$3:$F$54,5)-SUM(EN29:EQ29)</f>
        <v>55620917.330000028</v>
      </c>
      <c r="FO29" s="37">
        <f>VLOOKUP($A29,[9]Totals!$A$3:$F$54,6)-SUM(ER29:EU29)</f>
        <v>57123206.719999969</v>
      </c>
      <c r="FP29" s="52">
        <f t="shared" si="10"/>
        <v>18656.708664186408</v>
      </c>
      <c r="FQ29" s="52">
        <f t="shared" si="11"/>
        <v>16186.734835259755</v>
      </c>
      <c r="FR29" s="52">
        <f t="shared" si="12"/>
        <v>20751.286144398524</v>
      </c>
      <c r="FS29" s="52">
        <f t="shared" si="13"/>
        <v>21742.502348454273</v>
      </c>
      <c r="FT29" s="37">
        <f>VLOOKUP($A29,[10]Calculations!$AF$3:$AJ$54,2,FALSE)-EI29</f>
        <v>15033190.160000004</v>
      </c>
      <c r="FU29" s="37">
        <f>VLOOKUP($A29,[10]Calculations!$AF$3:$AJ$54,3,FALSE)-EM29</f>
        <v>15924506.919999996</v>
      </c>
      <c r="FV29" s="37">
        <f>VLOOKUP($A29,[10]Calculations!$AF$3:$AJ$54,4,FALSE)-EQ29</f>
        <v>17097010.470000003</v>
      </c>
      <c r="FW29" s="37">
        <f>VLOOKUP($A29,[10]Calculations!$AF$3:$AJ$54,5,FALSE)-EU29</f>
        <v>16702583.103235297</v>
      </c>
      <c r="FX29" s="52">
        <f t="shared" si="14"/>
        <v>22205.598463810937</v>
      </c>
      <c r="FY29" s="52">
        <f t="shared" si="15"/>
        <v>25077.963653543302</v>
      </c>
      <c r="FZ29" s="52">
        <f t="shared" si="16"/>
        <v>27936.291617647064</v>
      </c>
      <c r="GA29" s="52">
        <f t="shared" si="17"/>
        <v>28118.826773123394</v>
      </c>
    </row>
    <row r="30" spans="1:183" ht="15.75" x14ac:dyDescent="0.25">
      <c r="A30" s="66" t="s">
        <v>283</v>
      </c>
      <c r="B30" s="66" t="s">
        <v>284</v>
      </c>
      <c r="C30" s="67">
        <v>3</v>
      </c>
      <c r="D30" s="68" t="s">
        <v>272</v>
      </c>
      <c r="E30">
        <v>6</v>
      </c>
      <c r="F30" s="27">
        <v>1630</v>
      </c>
      <c r="G30" s="27">
        <v>1567</v>
      </c>
      <c r="H30" s="27">
        <v>1548</v>
      </c>
      <c r="I30" s="27">
        <v>1423</v>
      </c>
      <c r="J30" s="23">
        <v>161</v>
      </c>
      <c r="K30" s="23">
        <v>131</v>
      </c>
      <c r="L30" s="23">
        <v>132</v>
      </c>
      <c r="M30" s="23">
        <v>129</v>
      </c>
      <c r="N30" s="27">
        <v>1469</v>
      </c>
      <c r="O30" s="27">
        <v>1436</v>
      </c>
      <c r="P30" s="27">
        <v>1416</v>
      </c>
      <c r="Q30" s="27">
        <v>1294</v>
      </c>
      <c r="R30" s="25">
        <f>VLOOKUP($A30,'ADM, LTADM'!$B:$L,2,FALSE)</f>
        <v>1470.0100000000002</v>
      </c>
      <c r="S30" s="25">
        <f>VLOOKUP($A30,'ADM, LTADM'!$B:$L,3,FALSE)</f>
        <v>1463.4699999999998</v>
      </c>
      <c r="T30" s="25">
        <f>VLOOKUP($A30,'ADM, LTADM'!$B:$L,4,FALSE)</f>
        <v>1438.21</v>
      </c>
      <c r="U30" s="25">
        <f>VLOOKUP($A30,'ADM, LTADM'!$B:$L,5,FALSE)</f>
        <v>1365.6599999999999</v>
      </c>
      <c r="V30" s="29">
        <f>VLOOKUP($A30,'ADM, LTADM'!$B:$L,7,FALSE)</f>
        <v>1487.06</v>
      </c>
      <c r="W30" s="29">
        <f>VLOOKUP($A30,'ADM, LTADM'!$B:$L,8,FALSE)</f>
        <v>1478.6499999999999</v>
      </c>
      <c r="X30" s="29">
        <f>VLOOKUP($A30,'ADM, LTADM'!$B:$L,9,FALSE)</f>
        <v>1457.08</v>
      </c>
      <c r="Y30" s="29">
        <f>VLOOKUP($A30,'ADM, LTADM'!$B:$L,10,FALSE)</f>
        <v>1407.1399999999999</v>
      </c>
      <c r="Z30" s="10">
        <v>1452.05</v>
      </c>
      <c r="AA30" s="10">
        <v>1440.65</v>
      </c>
      <c r="AB30" s="10">
        <v>1431.5</v>
      </c>
      <c r="AC30" s="10">
        <v>1412.82</v>
      </c>
      <c r="AD30" s="2">
        <v>0.26514611546685674</v>
      </c>
      <c r="AE30" s="2">
        <v>0.30212143379663497</v>
      </c>
      <c r="AF30" s="2">
        <v>0.2932551319648094</v>
      </c>
      <c r="AG30" s="2">
        <v>0.21330275229357798</v>
      </c>
      <c r="AH30" s="2">
        <f t="shared" si="0"/>
        <v>0.28684089374276706</v>
      </c>
      <c r="AI30" s="46">
        <f>VLOOKUP(A30,'[1]SU_SD IDEA 3-21'!$A:$B,2,FALSE)</f>
        <v>268</v>
      </c>
      <c r="AJ30" s="46">
        <f>VLOOKUP(A30,'[2]SU_SD IDEA 3-21'!$A:$B,2,FALSE)</f>
        <v>245</v>
      </c>
      <c r="AK30" s="46">
        <f>VLOOKUP(A30,'[3]SU_SD IDEA 3-21'!$A:$B,2,FALSE)</f>
        <v>237</v>
      </c>
      <c r="AL30" s="46">
        <f>VLOOKUP($A30,'[4]SU_SD IDEA 3-21'!$A:$B,2,FALSE)</f>
        <v>235</v>
      </c>
      <c r="AM30" s="22">
        <f t="shared" si="18"/>
        <v>0.1823116849545241</v>
      </c>
      <c r="AN30" s="22">
        <f t="shared" si="19"/>
        <v>0.16741033297573576</v>
      </c>
      <c r="AO30" s="22">
        <f t="shared" si="20"/>
        <v>0.1647881741887485</v>
      </c>
      <c r="AP30" s="22">
        <f t="shared" si="21"/>
        <v>0.17207796962640776</v>
      </c>
      <c r="AQ30" s="26" t="s">
        <v>222</v>
      </c>
      <c r="AR30" s="26" t="s">
        <v>222</v>
      </c>
      <c r="AS30" s="26" t="s">
        <v>222</v>
      </c>
      <c r="AT30" s="26" t="s">
        <v>222</v>
      </c>
      <c r="AU30" s="2">
        <v>0.6225806451612903</v>
      </c>
      <c r="AV30" s="2">
        <v>0.61419753086419748</v>
      </c>
      <c r="AW30" s="2">
        <v>0.58394160583941601</v>
      </c>
      <c r="AX30" s="2">
        <v>0.61219195849546049</v>
      </c>
      <c r="AY30" s="2">
        <v>0.44838709677419353</v>
      </c>
      <c r="AZ30" s="2">
        <v>0.40740740740740738</v>
      </c>
      <c r="BA30" s="2">
        <v>0.25547445255474455</v>
      </c>
      <c r="BB30" s="2">
        <v>0.39688715953307391</v>
      </c>
      <c r="BC30" s="2">
        <v>0.63291139240506333</v>
      </c>
      <c r="BD30" s="2" t="s">
        <v>222</v>
      </c>
      <c r="BE30" s="2" t="s">
        <v>222</v>
      </c>
      <c r="BF30" s="8">
        <v>0.63</v>
      </c>
      <c r="BG30" s="2">
        <v>0.46835443037974683</v>
      </c>
      <c r="BH30" s="2" t="s">
        <v>222</v>
      </c>
      <c r="BI30" s="2" t="s">
        <v>222</v>
      </c>
      <c r="BJ30" s="8">
        <v>0.47</v>
      </c>
      <c r="BK30" s="31">
        <f>VLOOKUP($A30,[5]FY20!$W:$AF,7,FALSE)</f>
        <v>10.214431586113003</v>
      </c>
      <c r="BL30" s="31">
        <f>VLOOKUP($A30,[5]FY20!$W:$AF,8,FALSE)</f>
        <v>0.93941456773315191</v>
      </c>
      <c r="BM30" s="31">
        <f>VLOOKUP($A30,[5]FY20!$W:$AF,9,FALSE)</f>
        <v>2.2137508509189932</v>
      </c>
      <c r="BN30" s="31">
        <f>VLOOKUP($A30,[5]FY20!$W:$AF,10,FALSE)</f>
        <v>5.1552076242341736</v>
      </c>
      <c r="BO30" s="55">
        <f>VLOOKUP($A30,[5]FY21!$W:$AF,7,FALSE)</f>
        <v>10.522284122562674</v>
      </c>
      <c r="BP30" s="55">
        <f>VLOOKUP($A30,[5]FY21!$W:$AF,8,FALSE)</f>
        <v>1.1002785515320335</v>
      </c>
      <c r="BQ30" s="55">
        <f>VLOOKUP($A30,[5]FY21!$W:$AF,9,FALSE)</f>
        <v>2.4387186629526463</v>
      </c>
      <c r="BR30" s="55">
        <f>VLOOKUP($A30,[5]FY21!$W:$AF,10,FALSE)</f>
        <v>5.8753481894150408</v>
      </c>
      <c r="BS30" s="31">
        <f>VLOOKUP($A30,[5]FY22!$W:$AF,7,FALSE)</f>
        <v>9.6963276836158201</v>
      </c>
      <c r="BT30" s="31">
        <f>VLOOKUP($A30,[5]FY22!$W:$AF,8,FALSE)</f>
        <v>1.115819209039548</v>
      </c>
      <c r="BU30" s="31">
        <f>VLOOKUP($A30,[5]FY22!$W:$AF,9,FALSE)</f>
        <v>2.7344632768361588</v>
      </c>
      <c r="BV30" s="31">
        <f>VLOOKUP($A30,[5]FY22!$W:$AF,10,FALSE)</f>
        <v>6.2775423728813564</v>
      </c>
      <c r="BW30" s="55">
        <f>VLOOKUP($A30,[5]FY23!$W:$AF,7,FALSE)</f>
        <v>10.440494590417309</v>
      </c>
      <c r="BX30" s="55">
        <f>VLOOKUP($A30,[5]FY23!$W:$AF,8,FALSE)</f>
        <v>1.3601236476043277</v>
      </c>
      <c r="BY30" s="55">
        <f>VLOOKUP($A30,[5]FY23!$W:$AF,9,FALSE)</f>
        <v>2.8763523956723338</v>
      </c>
      <c r="BZ30" s="55">
        <f>VLOOKUP($A30,[5]FY23!$W:$AF,10,FALSE)</f>
        <v>5.8068006182380225</v>
      </c>
      <c r="CA30" s="37">
        <f>VLOOKUP($A30,[5]FY20!$W:$AF,3,FALSE)</f>
        <v>61885.53208930356</v>
      </c>
      <c r="CB30" s="37">
        <f>VLOOKUP($A30,[5]FY20!$W:$AF,4,FALSE)</f>
        <v>91131.286956521741</v>
      </c>
      <c r="CC30" s="37">
        <f>VLOOKUP($A30,[5]FY20!$W:$AF,5,FALSE)</f>
        <v>63624.672201721994</v>
      </c>
      <c r="CD30" s="37">
        <f>VLOOKUP($A30,[5]FY20!$W:$AF,6,FALSE)</f>
        <v>42915.079624983482</v>
      </c>
      <c r="CE30" s="52">
        <f>VLOOKUP($A30,[5]FY21!$W:$AF,3,FALSE)</f>
        <v>64190.317670416945</v>
      </c>
      <c r="CF30" s="52">
        <f>VLOOKUP($A30,[5]FY21!$W:$AF,4,FALSE)</f>
        <v>91378.860759493662</v>
      </c>
      <c r="CG30" s="52">
        <f>VLOOKUP($A30,[5]FY21!$W:$AF,5,FALSE)</f>
        <v>65150.656767561384</v>
      </c>
      <c r="CH30" s="52">
        <f>VLOOKUP($A30,[5]FY21!$W:$AF,6,FALSE)</f>
        <v>42474.742206945601</v>
      </c>
      <c r="CI30" s="37">
        <f>VLOOKUP($A30,[5]FY22!$W:$AF,3,FALSE)</f>
        <v>64436.314639475597</v>
      </c>
      <c r="CJ30" s="37">
        <f>VLOOKUP($A30,[5]FY22!$W:$AF,4,FALSE)</f>
        <v>89929.620253164554</v>
      </c>
      <c r="CK30" s="37">
        <f>VLOOKUP($A30,[5]FY22!$W:$AF,5,FALSE)</f>
        <v>62507.283057851229</v>
      </c>
      <c r="CL30" s="37">
        <f>VLOOKUP($A30,[5]FY22!$W:$AF,6,FALSE)</f>
        <v>47514.647316908537</v>
      </c>
      <c r="CM30" s="52">
        <f>VLOOKUP($A30,[5]FY23!$W:$AF,3,FALSE)</f>
        <v>100366.30643967431</v>
      </c>
      <c r="CN30" s="52">
        <f>VLOOKUP($A30,[5]FY23!$W:$AF,4,FALSE)</f>
        <v>96403.749999999985</v>
      </c>
      <c r="CO30" s="52">
        <f>VLOOKUP($A30,[5]FY23!$W:$AF,5,FALSE)</f>
        <v>69186.808167651805</v>
      </c>
      <c r="CP30" s="52">
        <f>VLOOKUP($A30,[5]FY23!$W:$AF,6,FALSE)</f>
        <v>51338.68778280542</v>
      </c>
      <c r="CQ30" s="5">
        <v>0.84</v>
      </c>
      <c r="CR30" s="4">
        <v>0.94899999999999995</v>
      </c>
      <c r="CS30" s="4">
        <v>0.77100000000000002</v>
      </c>
      <c r="CT30" s="4">
        <v>0.88600000000000001</v>
      </c>
      <c r="CU30" s="4">
        <v>0.84699999999999998</v>
      </c>
      <c r="CV30" s="4">
        <v>0.84</v>
      </c>
      <c r="CW30" s="4">
        <v>0.75900000000000001</v>
      </c>
      <c r="CX30" s="4">
        <v>0.81100000000000005</v>
      </c>
      <c r="CY30" t="s">
        <v>228</v>
      </c>
      <c r="CZ30" t="s">
        <v>228</v>
      </c>
      <c r="DA30" t="s">
        <v>228</v>
      </c>
      <c r="DB30">
        <v>0</v>
      </c>
      <c r="DC30">
        <v>5</v>
      </c>
      <c r="DD30">
        <v>1</v>
      </c>
      <c r="DE30">
        <v>0</v>
      </c>
      <c r="DF30">
        <v>0</v>
      </c>
      <c r="DG30">
        <v>0</v>
      </c>
      <c r="DH30">
        <v>4</v>
      </c>
      <c r="DI30">
        <v>2</v>
      </c>
      <c r="DJ30">
        <v>0</v>
      </c>
      <c r="DK30">
        <v>0</v>
      </c>
      <c r="DL30">
        <v>1</v>
      </c>
      <c r="DM30">
        <v>2</v>
      </c>
      <c r="DN30">
        <v>1</v>
      </c>
      <c r="DO30">
        <v>0</v>
      </c>
      <c r="DP30">
        <v>0</v>
      </c>
      <c r="DQ30" s="5">
        <v>0</v>
      </c>
      <c r="DR30" s="5">
        <v>0.83299999999999996</v>
      </c>
      <c r="DS30" s="5">
        <v>0.16700000000000001</v>
      </c>
      <c r="DT30" s="5">
        <v>0</v>
      </c>
      <c r="DU30" s="5">
        <v>0</v>
      </c>
      <c r="DV30" s="5">
        <v>0</v>
      </c>
      <c r="DW30" s="5">
        <v>0.66700000000000004</v>
      </c>
      <c r="DX30" s="5">
        <v>0.33300000000000002</v>
      </c>
      <c r="DY30" s="5">
        <v>0</v>
      </c>
      <c r="DZ30" s="5">
        <v>0</v>
      </c>
      <c r="EA30" s="5">
        <v>0.16700000000000001</v>
      </c>
      <c r="EB30" s="5">
        <v>0.33300000000000002</v>
      </c>
      <c r="EC30" s="5">
        <v>0.16700000000000001</v>
      </c>
      <c r="ED30" s="5">
        <v>0</v>
      </c>
      <c r="EE30" s="5">
        <v>0</v>
      </c>
      <c r="EF30" s="36">
        <f>VLOOKUP($A30,'[6]Updated (2)'!$A$2:$Q$54,2,FALSE)</f>
        <v>0</v>
      </c>
      <c r="EG30" s="36">
        <f>VLOOKUP($A30,'[6]Updated (2)'!$A$2:$Q$54,3,FALSE)</f>
        <v>0</v>
      </c>
      <c r="EH30" s="36">
        <f>VLOOKUP($A30,'[6]Updated (2)'!$A$2:$Q$54,4,FALSE)</f>
        <v>0</v>
      </c>
      <c r="EI30" s="36">
        <f>VLOOKUP($A30,'[6]Updated (2)'!$A$2:$Q$54,5,FALSE)</f>
        <v>0</v>
      </c>
      <c r="EJ30" s="48">
        <f>VLOOKUP($A30,'[6]Updated (2)'!$A$2:$Q$54,6,FALSE)</f>
        <v>0</v>
      </c>
      <c r="EK30" s="48">
        <f>VLOOKUP($A30,'[6]Updated (2)'!$A$2:$Q$54,7,FALSE)</f>
        <v>0</v>
      </c>
      <c r="EL30" s="48">
        <f>VLOOKUP($A30,'[6]Updated (2)'!$A$2:$Q$54,8,FALSE)</f>
        <v>0</v>
      </c>
      <c r="EM30" s="48">
        <f>VLOOKUP($A30,'[6]Updated (2)'!$A$2:$Q$54,9,FALSE)</f>
        <v>0</v>
      </c>
      <c r="EN30" s="36">
        <f>VLOOKUP($A30,'[6]Updated (2)'!$A$2:$Q$54,10,FALSE)</f>
        <v>0</v>
      </c>
      <c r="EO30" s="36">
        <f>VLOOKUP($A30,'[6]Updated (2)'!$A$2:$Q$54,11,FALSE)</f>
        <v>0</v>
      </c>
      <c r="EP30" s="36">
        <f>VLOOKUP($A30,'[6]Updated (2)'!$A$2:$Q$54,12,FALSE)</f>
        <v>0</v>
      </c>
      <c r="EQ30" s="36">
        <f>VLOOKUP($A30,'[6]Updated (2)'!$A$2:$Q$54,13,FALSE)</f>
        <v>0</v>
      </c>
      <c r="ER30" s="48">
        <f>VLOOKUP($A30,'[6]Updated (2)'!$A$2:$Q$54,14,FALSE)</f>
        <v>0</v>
      </c>
      <c r="ES30" s="48">
        <f>VLOOKUP($A30,'[6]Updated (2)'!$A$2:$Q$54,15,FALSE)</f>
        <v>0</v>
      </c>
      <c r="ET30" s="48">
        <f>VLOOKUP($A30,'[6]Updated (2)'!$A$2:$Q$54,16,FALSE)</f>
        <v>0</v>
      </c>
      <c r="EU30" s="48">
        <f>VLOOKUP($A30,'[6]Updated (2)'!$A$2:$Q$54,17,FALSE)</f>
        <v>0</v>
      </c>
      <c r="EV30" s="37">
        <f>VLOOKUP($A30,[7]Totals!$A30:$F81,3,FALSE)-SUM(EF30:EI30)</f>
        <v>37199439.700000003</v>
      </c>
      <c r="EW30" s="37">
        <f>VLOOKUP($A30,[7]Totals!$A30:$F81,4,FALSE)-SUM(EJ30:EM30)</f>
        <v>44128297.240000024</v>
      </c>
      <c r="EX30" s="37">
        <f>VLOOKUP($A30,[7]Totals!$A30:$F81,5,FALSE)-SUM(EN30:EQ30)</f>
        <v>40305761.269999981</v>
      </c>
      <c r="EY30" s="37">
        <f>VLOOKUP($A30,[7]Totals!$A30:$F81,6,FALSE)-SUM(ER30:EU30)</f>
        <v>42132692.550000034</v>
      </c>
      <c r="EZ30" s="52">
        <f t="shared" si="2"/>
        <v>25015.426210105848</v>
      </c>
      <c r="FA30" s="52">
        <f t="shared" si="3"/>
        <v>29843.639292597996</v>
      </c>
      <c r="FB30" s="52">
        <f t="shared" si="4"/>
        <v>27662.009821011874</v>
      </c>
      <c r="FC30" s="52">
        <f t="shared" si="5"/>
        <v>29942.075806245321</v>
      </c>
      <c r="FD30" s="37">
        <f>VLOOKUP($A30,[8]Totals!$A$2:$F$54,3)-SUM(EF30:EI30)</f>
        <v>33166714.020000018</v>
      </c>
      <c r="FE30" s="37">
        <f>VLOOKUP($A30,[8]Totals!$A$2:$F$54,4)-SUM(EJ30:EM30)</f>
        <v>39778980.270000033</v>
      </c>
      <c r="FF30" s="37">
        <f>VLOOKUP($A30,[8]Totals!$A$2:$F$54,5)-SUM(EN30:EQ30)</f>
        <v>37096531.789999992</v>
      </c>
      <c r="FG30" s="37">
        <f>VLOOKUP($A30,[8]Totals!$A$2:$F$54,6)-SUM(ER30:EU30)</f>
        <v>37656708.31000001</v>
      </c>
      <c r="FH30" s="52">
        <f t="shared" si="6"/>
        <v>22303.547953680431</v>
      </c>
      <c r="FI30" s="52">
        <f t="shared" si="7"/>
        <v>26902.228566597936</v>
      </c>
      <c r="FJ30" s="52">
        <f t="shared" si="8"/>
        <v>25459.502422653521</v>
      </c>
      <c r="FK30" s="52">
        <f t="shared" si="9"/>
        <v>26761.166841963139</v>
      </c>
      <c r="FL30" s="37">
        <f>VLOOKUP($A30,[9]Totals!$A$3:$F$54,3)-SUM(EF30:EI30)</f>
        <v>31594626.989999995</v>
      </c>
      <c r="FM30" s="37">
        <f>VLOOKUP($A30,[9]Totals!$A$3:$F$54,4)-SUM(EJ30:EM30)</f>
        <v>33355959.510000028</v>
      </c>
      <c r="FN30" s="37">
        <f>VLOOKUP($A30,[9]Totals!$A$3:$F$54,5)-SUM(EN30:EQ30)</f>
        <v>34856977.439999975</v>
      </c>
      <c r="FO30" s="37">
        <f>VLOOKUP($A30,[9]Totals!$A$3:$F$54,6)-SUM(ER30:EU30)</f>
        <v>34780342.540000007</v>
      </c>
      <c r="FP30" s="52">
        <f t="shared" si="10"/>
        <v>21246.370011969924</v>
      </c>
      <c r="FQ30" s="52">
        <f t="shared" si="11"/>
        <v>22558.387387143699</v>
      </c>
      <c r="FR30" s="52">
        <f t="shared" si="12"/>
        <v>23922.487056304373</v>
      </c>
      <c r="FS30" s="52">
        <f t="shared" si="13"/>
        <v>24717.044885370331</v>
      </c>
      <c r="FT30" s="37">
        <f>VLOOKUP($A30,[10]Calculations!$AF$3:$AJ$54,2,FALSE)-EI30</f>
        <v>6307653.8799999999</v>
      </c>
      <c r="FU30" s="37">
        <f>VLOOKUP($A30,[10]Calculations!$AF$3:$AJ$54,3,FALSE)-EM30</f>
        <v>7086122.9399999995</v>
      </c>
      <c r="FV30" s="37">
        <f>VLOOKUP($A30,[10]Calculations!$AF$3:$AJ$54,4,FALSE)-EQ30</f>
        <v>7135703.3999999994</v>
      </c>
      <c r="FW30" s="37">
        <f>VLOOKUP($A30,[10]Calculations!$AF$3:$AJ$54,5,FALSE)-EU30</f>
        <v>7075486.4936708855</v>
      </c>
      <c r="FX30" s="52">
        <f t="shared" si="14"/>
        <v>23536.021940298506</v>
      </c>
      <c r="FY30" s="52">
        <f t="shared" si="15"/>
        <v>28922.950775510202</v>
      </c>
      <c r="FZ30" s="52">
        <f t="shared" si="16"/>
        <v>30108.453164556959</v>
      </c>
      <c r="GA30" s="52">
        <f t="shared" si="17"/>
        <v>30108.453164556959</v>
      </c>
    </row>
    <row r="31" spans="1:183" ht="15.75" x14ac:dyDescent="0.25">
      <c r="A31" s="66" t="s">
        <v>285</v>
      </c>
      <c r="B31" s="66" t="s">
        <v>286</v>
      </c>
      <c r="C31" s="67">
        <v>1</v>
      </c>
      <c r="D31" s="68" t="s">
        <v>231</v>
      </c>
      <c r="E31">
        <v>5</v>
      </c>
      <c r="F31" s="27">
        <v>907</v>
      </c>
      <c r="G31" s="27">
        <v>823</v>
      </c>
      <c r="H31" s="27">
        <v>788</v>
      </c>
      <c r="I31" s="27">
        <v>798</v>
      </c>
      <c r="J31" s="23">
        <v>93</v>
      </c>
      <c r="K31" s="23">
        <v>62</v>
      </c>
      <c r="L31" s="23">
        <v>60</v>
      </c>
      <c r="M31" s="23">
        <v>68</v>
      </c>
      <c r="N31" s="27">
        <v>814</v>
      </c>
      <c r="O31" s="27">
        <v>761</v>
      </c>
      <c r="P31" s="27">
        <v>728</v>
      </c>
      <c r="Q31" s="27">
        <v>730</v>
      </c>
      <c r="R31" s="25">
        <f>VLOOKUP($A31,'ADM, LTADM'!$B:$L,2,FALSE)</f>
        <v>791.38000000000011</v>
      </c>
      <c r="S31" s="25">
        <f>VLOOKUP($A31,'ADM, LTADM'!$B:$L,3,FALSE)</f>
        <v>789.8</v>
      </c>
      <c r="T31" s="25">
        <f>VLOOKUP($A31,'ADM, LTADM'!$B:$L,4,FALSE)</f>
        <v>699.32999999999993</v>
      </c>
      <c r="U31" s="25">
        <f>VLOOKUP($A31,'ADM, LTADM'!$B:$L,5,FALSE)</f>
        <v>705.28</v>
      </c>
      <c r="V31" s="29">
        <f>VLOOKUP($A31,'ADM, LTADM'!$B:$L,7,FALSE)</f>
        <v>785.78</v>
      </c>
      <c r="W31" s="29">
        <f>VLOOKUP($A31,'ADM, LTADM'!$B:$L,8,FALSE)</f>
        <v>794.2</v>
      </c>
      <c r="X31" s="29">
        <f>VLOOKUP($A31,'ADM, LTADM'!$B:$L,9,FALSE)</f>
        <v>752.19</v>
      </c>
      <c r="Y31" s="29">
        <f>VLOOKUP($A31,'ADM, LTADM'!$B:$L,10,FALSE)</f>
        <v>709.43000000000006</v>
      </c>
      <c r="Z31" s="10">
        <v>785.07</v>
      </c>
      <c r="AA31" s="10">
        <v>772.73</v>
      </c>
      <c r="AB31" s="10">
        <v>778.21</v>
      </c>
      <c r="AC31" s="10">
        <v>753.46</v>
      </c>
      <c r="AD31" s="2">
        <v>0.36815920398009949</v>
      </c>
      <c r="AE31" s="2">
        <v>0.41991924629878868</v>
      </c>
      <c r="AF31" s="2">
        <v>0.36388508891928867</v>
      </c>
      <c r="AG31" s="2">
        <v>0.40405405405405403</v>
      </c>
      <c r="AH31" s="2">
        <f t="shared" si="0"/>
        <v>0.38398784639939226</v>
      </c>
      <c r="AI31" s="46">
        <f>VLOOKUP(A31,'[1]SU_SD IDEA 3-21'!$A:$B,2,FALSE)</f>
        <v>128</v>
      </c>
      <c r="AJ31" s="46">
        <f>VLOOKUP(A31,'[2]SU_SD IDEA 3-21'!$A:$B,2,FALSE)</f>
        <v>99</v>
      </c>
      <c r="AK31" s="46">
        <f>VLOOKUP(A31,'[3]SU_SD IDEA 3-21'!$A:$B,2,FALSE)</f>
        <v>118</v>
      </c>
      <c r="AL31" s="46">
        <f>VLOOKUP($A31,'[4]SU_SD IDEA 3-21'!$A:$B,2,FALSE)</f>
        <v>131</v>
      </c>
      <c r="AM31" s="22">
        <f t="shared" si="18"/>
        <v>0.16174277843766582</v>
      </c>
      <c r="AN31" s="22">
        <f t="shared" si="19"/>
        <v>0.12534818941504178</v>
      </c>
      <c r="AO31" s="22">
        <f t="shared" si="20"/>
        <v>0.16873293009022924</v>
      </c>
      <c r="AP31" s="22">
        <f t="shared" si="21"/>
        <v>0.18574183303085301</v>
      </c>
      <c r="AQ31" s="26" t="s">
        <v>222</v>
      </c>
      <c r="AR31" s="26" t="s">
        <v>222</v>
      </c>
      <c r="AS31" s="26" t="s">
        <v>222</v>
      </c>
      <c r="AT31" s="26">
        <v>0</v>
      </c>
      <c r="AU31" s="2">
        <v>0.48734177215189872</v>
      </c>
      <c r="AV31" s="2">
        <v>0.44067796610169491</v>
      </c>
      <c r="AW31" s="2">
        <v>0.38095238095238093</v>
      </c>
      <c r="AX31" s="2">
        <v>0.44974874371859297</v>
      </c>
      <c r="AY31" s="2">
        <v>0.41139240506329117</v>
      </c>
      <c r="AZ31" s="2">
        <v>0.21022727272727273</v>
      </c>
      <c r="BA31" s="2">
        <v>0.23809523809523808</v>
      </c>
      <c r="BB31" s="2">
        <v>0.29471032745591941</v>
      </c>
      <c r="BC31" s="2">
        <v>0.32142857142857145</v>
      </c>
      <c r="BD31" s="2">
        <v>0.61818181818181817</v>
      </c>
      <c r="BE31" s="2">
        <v>0.36666666666666664</v>
      </c>
      <c r="BF31" s="8">
        <v>0.43</v>
      </c>
      <c r="BG31" s="2">
        <v>0.14285714285714285</v>
      </c>
      <c r="BH31" s="2">
        <v>0.52727272727272723</v>
      </c>
      <c r="BI31" s="2">
        <v>0.15</v>
      </c>
      <c r="BJ31" s="8">
        <v>0.27</v>
      </c>
      <c r="BK31" s="31">
        <f>VLOOKUP($A31,[5]FY20!$W:$AF,7,FALSE)</f>
        <v>9.649877149877149</v>
      </c>
      <c r="BL31" s="31">
        <f>VLOOKUP($A31,[5]FY20!$W:$AF,8,FALSE)</f>
        <v>1.4987714987714986</v>
      </c>
      <c r="BM31" s="31">
        <f>VLOOKUP($A31,[5]FY20!$W:$AF,9,FALSE)</f>
        <v>2.6240786240786242</v>
      </c>
      <c r="BN31" s="31">
        <f>VLOOKUP($A31,[5]FY20!$W:$AF,10,FALSE)</f>
        <v>4.6130221130221134</v>
      </c>
      <c r="BO31" s="55">
        <f>VLOOKUP($A31,[5]FY21!$W:$AF,7,FALSE)</f>
        <v>10.67148488830486</v>
      </c>
      <c r="BP31" s="55">
        <f>VLOOKUP($A31,[5]FY21!$W:$AF,8,FALSE)</f>
        <v>1.6031537450722733</v>
      </c>
      <c r="BQ31" s="55">
        <f>VLOOKUP($A31,[5]FY21!$W:$AF,9,FALSE)</f>
        <v>3.1274638633377134</v>
      </c>
      <c r="BR31" s="55">
        <f>VLOOKUP($A31,[5]FY21!$W:$AF,10,FALSE)</f>
        <v>5.0328515111695147</v>
      </c>
      <c r="BS31" s="31">
        <f>VLOOKUP($A31,[5]FY22!$W:$AF,7,FALSE)</f>
        <v>10.582417582417582</v>
      </c>
      <c r="BT31" s="31">
        <f>VLOOKUP($A31,[5]FY22!$W:$AF,8,FALSE)</f>
        <v>1.6826923076923077</v>
      </c>
      <c r="BU31" s="31">
        <f>VLOOKUP($A31,[5]FY22!$W:$AF,9,FALSE)</f>
        <v>3.3035714285714288</v>
      </c>
      <c r="BV31" s="31">
        <f>VLOOKUP($A31,[5]FY22!$W:$AF,10,FALSE)</f>
        <v>5.6730769230769225</v>
      </c>
      <c r="BW31" s="55">
        <f>VLOOKUP($A31,[5]FY23!$W:$AF,7,FALSE)</f>
        <v>9.991780821917807</v>
      </c>
      <c r="BX31" s="55">
        <f>VLOOKUP($A31,[5]FY23!$W:$AF,8,FALSE)</f>
        <v>1.6232876712328765</v>
      </c>
      <c r="BY31" s="55">
        <f>VLOOKUP($A31,[5]FY23!$W:$AF,9,FALSE)</f>
        <v>3.3917808219178078</v>
      </c>
      <c r="BZ31" s="55">
        <f>VLOOKUP($A31,[5]FY23!$W:$AF,10,FALSE)</f>
        <v>5.8835616438356153</v>
      </c>
      <c r="CA31" s="37">
        <f>VLOOKUP($A31,[5]FY20!$W:$AF,3,FALSE)</f>
        <v>56840.005474220241</v>
      </c>
      <c r="CB31" s="37">
        <f>VLOOKUP($A31,[5]FY20!$W:$AF,4,FALSE)</f>
        <v>88736.786885245907</v>
      </c>
      <c r="CC31" s="37">
        <f>VLOOKUP($A31,[5]FY20!$W:$AF,5,FALSE)</f>
        <v>56718.469101123599</v>
      </c>
      <c r="CD31" s="37">
        <f>VLOOKUP($A31,[5]FY20!$W:$AF,6,FALSE)</f>
        <v>43613.084420772291</v>
      </c>
      <c r="CE31" s="52">
        <f>VLOOKUP($A31,[5]FY21!$W:$AF,3,FALSE)</f>
        <v>57229.954685876131</v>
      </c>
      <c r="CF31" s="52">
        <f>VLOOKUP($A31,[5]FY21!$W:$AF,4,FALSE)</f>
        <v>89241.333606557382</v>
      </c>
      <c r="CG31" s="52">
        <f>VLOOKUP($A31,[5]FY21!$W:$AF,5,FALSE)</f>
        <v>49658.352100840333</v>
      </c>
      <c r="CH31" s="52">
        <f>VLOOKUP($A31,[5]FY21!$W:$AF,6,FALSE)</f>
        <v>42359.199738903408</v>
      </c>
      <c r="CI31" s="37">
        <f>VLOOKUP($A31,[5]FY22!$W:$AF,3,FALSE)</f>
        <v>59546.813992731055</v>
      </c>
      <c r="CJ31" s="37">
        <f>VLOOKUP($A31,[5]FY22!$W:$AF,4,FALSE)</f>
        <v>81869.23510204081</v>
      </c>
      <c r="CK31" s="37">
        <f>VLOOKUP($A31,[5]FY22!$W:$AF,5,FALSE)</f>
        <v>55265.619958419957</v>
      </c>
      <c r="CL31" s="37">
        <f>VLOOKUP($A31,[5]FY22!$W:$AF,6,FALSE)</f>
        <v>45299.17263922518</v>
      </c>
      <c r="CM31" s="52">
        <f>VLOOKUP($A31,[5]FY23!$W:$AF,3,FALSE)</f>
        <v>62471.87770770496</v>
      </c>
      <c r="CN31" s="52">
        <f>VLOOKUP($A31,[5]FY23!$W:$AF,4,FALSE)</f>
        <v>89964.421940928267</v>
      </c>
      <c r="CO31" s="52">
        <f>VLOOKUP($A31,[5]FY23!$W:$AF,5,FALSE)</f>
        <v>58153.4204361874</v>
      </c>
      <c r="CP31" s="52">
        <f>VLOOKUP($A31,[5]FY23!$W:$AF,6,FALSE)</f>
        <v>49786.825844004663</v>
      </c>
      <c r="CQ31" s="5">
        <v>0.86499999999999999</v>
      </c>
      <c r="CR31" s="4">
        <v>0.85699999999999998</v>
      </c>
      <c r="CS31" s="4">
        <v>0.71699999999999997</v>
      </c>
      <c r="CT31" s="4">
        <v>0.84499999999999997</v>
      </c>
      <c r="CU31" s="4">
        <v>0.83599999999999997</v>
      </c>
      <c r="CV31" s="4">
        <v>0.86599999999999999</v>
      </c>
      <c r="CW31" s="4">
        <v>0.75</v>
      </c>
      <c r="CX31" s="4">
        <v>0.76300000000000001</v>
      </c>
      <c r="CY31" t="s">
        <v>223</v>
      </c>
      <c r="CZ31" t="s">
        <v>223</v>
      </c>
      <c r="DA31" t="s">
        <v>223</v>
      </c>
      <c r="DB31">
        <v>0</v>
      </c>
      <c r="DC31">
        <v>1</v>
      </c>
      <c r="DD31">
        <v>4</v>
      </c>
      <c r="DE31">
        <v>0</v>
      </c>
      <c r="DF31">
        <v>0</v>
      </c>
      <c r="DG31">
        <v>0</v>
      </c>
      <c r="DH31">
        <v>1</v>
      </c>
      <c r="DI31">
        <v>4</v>
      </c>
      <c r="DJ31">
        <v>0</v>
      </c>
      <c r="DK31">
        <v>0</v>
      </c>
      <c r="DL31">
        <v>0</v>
      </c>
      <c r="DM31">
        <v>0</v>
      </c>
      <c r="DN31">
        <v>1</v>
      </c>
      <c r="DO31">
        <v>2</v>
      </c>
      <c r="DP31">
        <v>0</v>
      </c>
      <c r="DQ31" s="5">
        <v>0</v>
      </c>
      <c r="DR31" s="5">
        <v>0.2</v>
      </c>
      <c r="DS31" s="5">
        <v>0.8</v>
      </c>
      <c r="DT31" s="5">
        <v>0</v>
      </c>
      <c r="DU31" s="5">
        <v>0</v>
      </c>
      <c r="DV31" s="5">
        <v>0</v>
      </c>
      <c r="DW31" s="5">
        <v>0.2</v>
      </c>
      <c r="DX31" s="5">
        <v>0.8</v>
      </c>
      <c r="DY31" s="5">
        <v>0</v>
      </c>
      <c r="DZ31" s="5">
        <v>0</v>
      </c>
      <c r="EA31" s="5">
        <v>0</v>
      </c>
      <c r="EB31" s="5">
        <v>0</v>
      </c>
      <c r="EC31" s="5">
        <v>0.2</v>
      </c>
      <c r="ED31" s="5">
        <v>0.4</v>
      </c>
      <c r="EE31" s="5">
        <v>0</v>
      </c>
      <c r="EF31" s="36">
        <f>VLOOKUP($A31,'[6]Updated (2)'!$A$2:$Q$54,2,FALSE)</f>
        <v>0</v>
      </c>
      <c r="EG31" s="36">
        <f>VLOOKUP($A31,'[6]Updated (2)'!$A$2:$Q$54,3,FALSE)</f>
        <v>0</v>
      </c>
      <c r="EH31" s="36">
        <f>VLOOKUP($A31,'[6]Updated (2)'!$A$2:$Q$54,4,FALSE)</f>
        <v>0</v>
      </c>
      <c r="EI31" s="36">
        <f>VLOOKUP($A31,'[6]Updated (2)'!$A$2:$Q$54,5,FALSE)</f>
        <v>0</v>
      </c>
      <c r="EJ31" s="48">
        <f>VLOOKUP($A31,'[6]Updated (2)'!$A$2:$Q$54,6,FALSE)</f>
        <v>0</v>
      </c>
      <c r="EK31" s="48">
        <f>VLOOKUP($A31,'[6]Updated (2)'!$A$2:$Q$54,7,FALSE)</f>
        <v>0</v>
      </c>
      <c r="EL31" s="48">
        <f>VLOOKUP($A31,'[6]Updated (2)'!$A$2:$Q$54,8,FALSE)</f>
        <v>0</v>
      </c>
      <c r="EM31" s="48">
        <f>VLOOKUP($A31,'[6]Updated (2)'!$A$2:$Q$54,9,FALSE)</f>
        <v>0</v>
      </c>
      <c r="EN31" s="36">
        <f>VLOOKUP($A31,'[6]Updated (2)'!$A$2:$Q$54,10,FALSE)</f>
        <v>0</v>
      </c>
      <c r="EO31" s="36">
        <f>VLOOKUP($A31,'[6]Updated (2)'!$A$2:$Q$54,11,FALSE)</f>
        <v>0</v>
      </c>
      <c r="EP31" s="36">
        <f>VLOOKUP($A31,'[6]Updated (2)'!$A$2:$Q$54,12,FALSE)</f>
        <v>0</v>
      </c>
      <c r="EQ31" s="36">
        <f>VLOOKUP($A31,'[6]Updated (2)'!$A$2:$Q$54,13,FALSE)</f>
        <v>0</v>
      </c>
      <c r="ER31" s="48">
        <f>VLOOKUP($A31,'[6]Updated (2)'!$A$2:$Q$54,14,FALSE)</f>
        <v>0</v>
      </c>
      <c r="ES31" s="48">
        <f>VLOOKUP($A31,'[6]Updated (2)'!$A$2:$Q$54,15,FALSE)</f>
        <v>0</v>
      </c>
      <c r="ET31" s="48">
        <f>VLOOKUP($A31,'[6]Updated (2)'!$A$2:$Q$54,16,FALSE)</f>
        <v>0</v>
      </c>
      <c r="EU31" s="48">
        <f>VLOOKUP($A31,'[6]Updated (2)'!$A$2:$Q$54,17,FALSE)</f>
        <v>0</v>
      </c>
      <c r="EV31" s="37">
        <f>VLOOKUP($A31,[7]Totals!$A31:$F82,3,FALSE)-SUM(EF31:EI31)</f>
        <v>23175538.750000019</v>
      </c>
      <c r="EW31" s="37">
        <f>VLOOKUP($A31,[7]Totals!$A31:$F82,4,FALSE)-SUM(EJ31:EM31)</f>
        <v>18660221.529999994</v>
      </c>
      <c r="EX31" s="37">
        <f>VLOOKUP($A31,[7]Totals!$A31:$F82,5,FALSE)-SUM(EN31:EQ31)</f>
        <v>20693606.839999985</v>
      </c>
      <c r="EY31" s="37">
        <f>VLOOKUP($A31,[7]Totals!$A31:$F82,6,FALSE)-SUM(ER31:EU31)</f>
        <v>21116595.460000016</v>
      </c>
      <c r="EZ31" s="52">
        <f t="shared" si="2"/>
        <v>29493.673483672301</v>
      </c>
      <c r="FA31" s="52">
        <f t="shared" si="3"/>
        <v>23495.620158650207</v>
      </c>
      <c r="FB31" s="52">
        <f t="shared" si="4"/>
        <v>27511.14324838137</v>
      </c>
      <c r="FC31" s="52">
        <f t="shared" si="5"/>
        <v>29765.580057229061</v>
      </c>
      <c r="FD31" s="37">
        <f>VLOOKUP($A31,[8]Totals!$A$2:$F$54,3)-SUM(EF31:EI31)</f>
        <v>18937781.050000019</v>
      </c>
      <c r="FE31" s="37">
        <f>VLOOKUP($A31,[8]Totals!$A$2:$F$54,4)-SUM(EJ31:EM31)</f>
        <v>18636723.529999994</v>
      </c>
      <c r="FF31" s="37">
        <f>VLOOKUP($A31,[8]Totals!$A$2:$F$54,5)-SUM(EN31:EQ31)</f>
        <v>20507468.32999998</v>
      </c>
      <c r="FG31" s="37">
        <f>VLOOKUP($A31,[8]Totals!$A$2:$F$54,6)-SUM(ER31:EU31)</f>
        <v>20813725.320000011</v>
      </c>
      <c r="FH31" s="52">
        <f t="shared" si="6"/>
        <v>24100.61473949454</v>
      </c>
      <c r="FI31" s="52">
        <f t="shared" si="7"/>
        <v>23466.033152858214</v>
      </c>
      <c r="FJ31" s="52">
        <f t="shared" si="8"/>
        <v>27263.681157686195</v>
      </c>
      <c r="FK31" s="52">
        <f t="shared" si="9"/>
        <v>29338.65965634384</v>
      </c>
      <c r="FL31" s="37">
        <f>VLOOKUP($A31,[9]Totals!$A$3:$F$54,3)-SUM(EF31:EI31)</f>
        <v>16514716.220000004</v>
      </c>
      <c r="FM31" s="37">
        <f>VLOOKUP($A31,[9]Totals!$A$3:$F$54,4)-SUM(EJ31:EM31)</f>
        <v>16448608.909999985</v>
      </c>
      <c r="FN31" s="37">
        <f>VLOOKUP($A31,[9]Totals!$A$3:$F$54,5)-SUM(EN31:EQ31)</f>
        <v>17332989.540000003</v>
      </c>
      <c r="FO31" s="37">
        <f>VLOOKUP($A31,[9]Totals!$A$3:$F$54,6)-SUM(ER31:EU31)</f>
        <v>17554536.010000002</v>
      </c>
      <c r="FP31" s="52">
        <f t="shared" si="10"/>
        <v>21016.971951436793</v>
      </c>
      <c r="FQ31" s="52">
        <f t="shared" si="11"/>
        <v>20710.915273230905</v>
      </c>
      <c r="FR31" s="52">
        <f t="shared" si="12"/>
        <v>23043.366091014239</v>
      </c>
      <c r="FS31" s="52">
        <f t="shared" si="13"/>
        <v>24744.56395979871</v>
      </c>
      <c r="FT31" s="37">
        <f>VLOOKUP($A31,[10]Calculations!$AF$3:$AJ$54,2,FALSE)-EI31</f>
        <v>4056518.7000000011</v>
      </c>
      <c r="FU31" s="37">
        <f>VLOOKUP($A31,[10]Calculations!$AF$3:$AJ$54,3,FALSE)-EM31</f>
        <v>3849422.6200000006</v>
      </c>
      <c r="FV31" s="37">
        <f>VLOOKUP($A31,[10]Calculations!$AF$3:$AJ$54,4,FALSE)-EQ31</f>
        <v>4220270.6099999994</v>
      </c>
      <c r="FW31" s="37">
        <f>VLOOKUP($A31,[10]Calculations!$AF$3:$AJ$54,5,FALSE)-EU31</f>
        <v>4685215.6772033898</v>
      </c>
      <c r="FX31" s="52">
        <f t="shared" si="14"/>
        <v>31691.552343750009</v>
      </c>
      <c r="FY31" s="52">
        <f t="shared" si="15"/>
        <v>38883.056767676775</v>
      </c>
      <c r="FZ31" s="52">
        <f t="shared" si="16"/>
        <v>35765.005169491524</v>
      </c>
      <c r="GA31" s="52">
        <f t="shared" si="17"/>
        <v>35765.005169491524</v>
      </c>
    </row>
    <row r="32" spans="1:183" ht="15.75" x14ac:dyDescent="0.25">
      <c r="A32" s="66" t="s">
        <v>287</v>
      </c>
      <c r="B32" s="66" t="s">
        <v>288</v>
      </c>
      <c r="C32" s="67">
        <v>2</v>
      </c>
      <c r="D32" s="68" t="s">
        <v>240</v>
      </c>
      <c r="E32">
        <v>7</v>
      </c>
      <c r="F32" s="27">
        <v>1167</v>
      </c>
      <c r="G32" s="27">
        <v>1067</v>
      </c>
      <c r="H32" s="27">
        <v>1159</v>
      </c>
      <c r="I32" s="27">
        <v>1113</v>
      </c>
      <c r="J32" s="23">
        <v>80</v>
      </c>
      <c r="K32" s="23">
        <v>44</v>
      </c>
      <c r="L32" s="23">
        <v>84</v>
      </c>
      <c r="M32" s="23">
        <v>77</v>
      </c>
      <c r="N32" s="27">
        <v>1087</v>
      </c>
      <c r="O32" s="27">
        <v>1023</v>
      </c>
      <c r="P32" s="27">
        <v>1075</v>
      </c>
      <c r="Q32" s="27">
        <v>1036</v>
      </c>
      <c r="R32" s="25">
        <f>VLOOKUP($A32,'ADM, LTADM'!$B:$L,2,FALSE)</f>
        <v>1079.05</v>
      </c>
      <c r="S32" s="25">
        <f>VLOOKUP($A32,'ADM, LTADM'!$B:$L,3,FALSE)</f>
        <v>1082.46</v>
      </c>
      <c r="T32" s="25">
        <f>VLOOKUP($A32,'ADM, LTADM'!$B:$L,4,FALSE)</f>
        <v>1079.27</v>
      </c>
      <c r="U32" s="25">
        <f>VLOOKUP($A32,'ADM, LTADM'!$B:$L,5,FALSE)</f>
        <v>1066.6100000000001</v>
      </c>
      <c r="V32" s="29">
        <f>VLOOKUP($A32,'ADM, LTADM'!$B:$L,7,FALSE)</f>
        <v>1092.2099999999998</v>
      </c>
      <c r="W32" s="29">
        <f>VLOOKUP($A32,'ADM, LTADM'!$B:$L,8,FALSE)</f>
        <v>1093.8600000000001</v>
      </c>
      <c r="X32" s="29">
        <f>VLOOKUP($A32,'ADM, LTADM'!$B:$L,9,FALSE)</f>
        <v>1093.92</v>
      </c>
      <c r="Y32" s="29">
        <f>VLOOKUP($A32,'ADM, LTADM'!$B:$L,10,FALSE)</f>
        <v>1083.29</v>
      </c>
      <c r="Z32" s="10">
        <v>1118.42</v>
      </c>
      <c r="AA32" s="10">
        <v>1125.97</v>
      </c>
      <c r="AB32" s="10">
        <v>1128.3499999999999</v>
      </c>
      <c r="AC32" s="10">
        <v>1125.0999999999999</v>
      </c>
      <c r="AD32" s="2">
        <v>0.57717492984097285</v>
      </c>
      <c r="AE32" s="2">
        <v>0.58783120706575076</v>
      </c>
      <c r="AF32" s="2">
        <v>0.53615023474178403</v>
      </c>
      <c r="AG32" s="2">
        <v>0.51254826254826258</v>
      </c>
      <c r="AH32" s="2">
        <f t="shared" si="0"/>
        <v>0.56705212388283588</v>
      </c>
      <c r="AI32" s="46">
        <f>VLOOKUP(A32,'[1]SU_SD IDEA 3-21'!$A:$B,2,FALSE)</f>
        <v>261</v>
      </c>
      <c r="AJ32" s="46">
        <f>VLOOKUP(A32,'[2]SU_SD IDEA 3-21'!$A:$B,2,FALSE)</f>
        <v>243</v>
      </c>
      <c r="AK32" s="46">
        <f>VLOOKUP(A32,'[3]SU_SD IDEA 3-21'!$A:$B,2,FALSE)</f>
        <v>257</v>
      </c>
      <c r="AL32" s="46">
        <f>VLOOKUP($A32,'[4]SU_SD IDEA 3-21'!$A:$B,2,FALSE)</f>
        <v>256</v>
      </c>
      <c r="AM32" s="22">
        <f t="shared" si="18"/>
        <v>0.24187943098095549</v>
      </c>
      <c r="AN32" s="22">
        <f t="shared" si="19"/>
        <v>0.22448866470816473</v>
      </c>
      <c r="AO32" s="22">
        <f t="shared" si="20"/>
        <v>0.23812391709210856</v>
      </c>
      <c r="AP32" s="22">
        <f t="shared" si="21"/>
        <v>0.2400127506773797</v>
      </c>
      <c r="AQ32" s="26" t="s">
        <v>222</v>
      </c>
      <c r="AR32" s="26" t="s">
        <v>222</v>
      </c>
      <c r="AS32" s="26" t="s">
        <v>222</v>
      </c>
      <c r="AT32" s="26" t="s">
        <v>222</v>
      </c>
      <c r="AU32" s="2">
        <v>0.4567901234567901</v>
      </c>
      <c r="AV32" s="2">
        <v>0.48945147679324896</v>
      </c>
      <c r="AW32" s="2">
        <v>0.73493975903614461</v>
      </c>
      <c r="AX32" s="2">
        <v>0.51154529307282415</v>
      </c>
      <c r="AY32" s="2">
        <v>0.40082644628099173</v>
      </c>
      <c r="AZ32" s="2">
        <v>0.38559322033898308</v>
      </c>
      <c r="BA32" s="2">
        <v>0.46987951807228917</v>
      </c>
      <c r="BB32" s="2">
        <v>0.40463458110516937</v>
      </c>
      <c r="BC32" s="2" t="s">
        <v>222</v>
      </c>
      <c r="BD32" s="2" t="s">
        <v>222</v>
      </c>
      <c r="BE32" s="2" t="s">
        <v>222</v>
      </c>
      <c r="BF32" s="8"/>
      <c r="BG32" s="2" t="s">
        <v>222</v>
      </c>
      <c r="BH32" s="2" t="s">
        <v>222</v>
      </c>
      <c r="BI32" s="2" t="s">
        <v>222</v>
      </c>
      <c r="BJ32" s="8"/>
      <c r="BK32" s="31">
        <f>VLOOKUP($A32,[5]FY20!$W:$AF,7,FALSE)</f>
        <v>10.654093836246547</v>
      </c>
      <c r="BL32" s="31">
        <f>VLOOKUP($A32,[5]FY20!$W:$AF,8,FALSE)</f>
        <v>1.1039558417663293</v>
      </c>
      <c r="BM32" s="31">
        <f>VLOOKUP($A32,[5]FY20!$W:$AF,9,FALSE)</f>
        <v>2.2732290708371661</v>
      </c>
      <c r="BN32" s="31">
        <f>VLOOKUP($A32,[5]FY20!$W:$AF,10,FALSE)</f>
        <v>4.2483900643974239</v>
      </c>
      <c r="BO32" s="55">
        <f>VLOOKUP($A32,[5]FY21!$W:$AF,7,FALSE)</f>
        <v>11.686217008797653</v>
      </c>
      <c r="BP32" s="55">
        <f>VLOOKUP($A32,[5]FY21!$W:$AF,8,FALSE)</f>
        <v>1.1730205278592376</v>
      </c>
      <c r="BQ32" s="55">
        <f>VLOOKUP($A32,[5]FY21!$W:$AF,9,FALSE)</f>
        <v>2.4301075268817205</v>
      </c>
      <c r="BR32" s="55">
        <f>VLOOKUP($A32,[5]FY21!$W:$AF,10,FALSE)</f>
        <v>4.7901857282502451</v>
      </c>
      <c r="BS32" s="31">
        <f>VLOOKUP($A32,[5]FY22!$W:$AF,7,FALSE)</f>
        <v>10.415813953488371</v>
      </c>
      <c r="BT32" s="31">
        <f>VLOOKUP($A32,[5]FY22!$W:$AF,8,FALSE)</f>
        <v>1.2093023255813953</v>
      </c>
      <c r="BU32" s="31">
        <f>VLOOKUP($A32,[5]FY22!$W:$AF,9,FALSE)</f>
        <v>2.7162790697674417</v>
      </c>
      <c r="BV32" s="31">
        <f>VLOOKUP($A32,[5]FY22!$W:$AF,10,FALSE)</f>
        <v>6.1804651162790707</v>
      </c>
      <c r="BW32" s="55">
        <f>VLOOKUP($A32,[5]FY23!$W:$AF,7,FALSE)</f>
        <v>10.592664092664092</v>
      </c>
      <c r="BX32" s="55">
        <f>VLOOKUP($A32,[5]FY23!$W:$AF,8,FALSE)</f>
        <v>1.3513513513513513</v>
      </c>
      <c r="BY32" s="55">
        <f>VLOOKUP($A32,[5]FY23!$W:$AF,9,FALSE)</f>
        <v>2.0472972972972974</v>
      </c>
      <c r="BZ32" s="55">
        <f>VLOOKUP($A32,[5]FY23!$W:$AF,10,FALSE)</f>
        <v>6.5096525096525122</v>
      </c>
      <c r="CA32" s="37">
        <f>VLOOKUP($A32,[5]FY20!$W:$AF,3,FALSE)</f>
        <v>52853.61048268716</v>
      </c>
      <c r="CB32" s="37">
        <f>VLOOKUP($A32,[5]FY20!$W:$AF,4,FALSE)</f>
        <v>80932.916666666672</v>
      </c>
      <c r="CC32" s="37">
        <f>VLOOKUP($A32,[5]FY20!$W:$AF,5,FALSE)</f>
        <v>44122.17847025497</v>
      </c>
      <c r="CD32" s="37">
        <f>VLOOKUP($A32,[5]FY20!$W:$AF,6,FALSE)</f>
        <v>34420.114984841923</v>
      </c>
      <c r="CE32" s="52">
        <f>VLOOKUP($A32,[5]FY21!$W:$AF,3,FALSE)</f>
        <v>54881.062317022166</v>
      </c>
      <c r="CF32" s="52">
        <f>VLOOKUP($A32,[5]FY21!$W:$AF,4,FALSE)</f>
        <v>84133.583333333328</v>
      </c>
      <c r="CG32" s="52">
        <f>VLOOKUP($A32,[5]FY21!$W:$AF,5,FALSE)</f>
        <v>45179.324215607405</v>
      </c>
      <c r="CH32" s="52">
        <f>VLOOKUP($A32,[5]FY21!$W:$AF,6,FALSE)</f>
        <v>35623.770498493985</v>
      </c>
      <c r="CI32" s="37">
        <f>VLOOKUP($A32,[5]FY22!$W:$AF,3,FALSE)</f>
        <v>54280.584085022776</v>
      </c>
      <c r="CJ32" s="37">
        <f>VLOOKUP($A32,[5]FY22!$W:$AF,4,FALSE)</f>
        <v>82947.538461538468</v>
      </c>
      <c r="CK32" s="37">
        <f>VLOOKUP($A32,[5]FY22!$W:$AF,5,FALSE)</f>
        <v>47803.45890410959</v>
      </c>
      <c r="CL32" s="37">
        <f>VLOOKUP($A32,[5]FY22!$W:$AF,6,FALSE)</f>
        <v>40829.0939193257</v>
      </c>
      <c r="CM32" s="52">
        <f>VLOOKUP($A32,[5]FY23!$W:$AF,3,FALSE)</f>
        <v>53638.481866229267</v>
      </c>
      <c r="CN32" s="52">
        <f>VLOOKUP($A32,[5]FY23!$W:$AF,4,FALSE)</f>
        <v>87929.642857142855</v>
      </c>
      <c r="CO32" s="52">
        <f>VLOOKUP($A32,[5]FY23!$W:$AF,5,FALSE)</f>
        <v>45361.480433757657</v>
      </c>
      <c r="CP32" s="52">
        <f>VLOOKUP($A32,[5]FY23!$W:$AF,6,FALSE)</f>
        <v>43528.32147093711</v>
      </c>
      <c r="CQ32" s="5">
        <v>0.83299999999999996</v>
      </c>
      <c r="CR32" s="4">
        <v>0.84499999999999997</v>
      </c>
      <c r="CS32" s="4">
        <v>0.80200000000000005</v>
      </c>
      <c r="CT32" s="4">
        <v>0.79400000000000004</v>
      </c>
      <c r="CU32" s="4">
        <v>0.83899999999999997</v>
      </c>
      <c r="CV32" s="4">
        <v>0.83399999999999996</v>
      </c>
      <c r="CW32" s="4">
        <v>0.87</v>
      </c>
      <c r="CX32" s="4">
        <v>0.82399999999999995</v>
      </c>
      <c r="CY32" t="s">
        <v>223</v>
      </c>
      <c r="CZ32" t="s">
        <v>223</v>
      </c>
      <c r="DA32" t="s">
        <v>223</v>
      </c>
      <c r="DB32">
        <v>0</v>
      </c>
      <c r="DC32">
        <v>1</v>
      </c>
      <c r="DD32">
        <v>6</v>
      </c>
      <c r="DE32">
        <v>0</v>
      </c>
      <c r="DF32">
        <v>0</v>
      </c>
      <c r="DG32">
        <v>0</v>
      </c>
      <c r="DH32">
        <v>0</v>
      </c>
      <c r="DI32">
        <v>7</v>
      </c>
      <c r="DJ32">
        <v>0</v>
      </c>
      <c r="DK32">
        <v>0</v>
      </c>
      <c r="DL32">
        <v>0</v>
      </c>
      <c r="DM32">
        <v>2</v>
      </c>
      <c r="DN32">
        <v>3</v>
      </c>
      <c r="DO32">
        <v>2</v>
      </c>
      <c r="DP32">
        <v>0</v>
      </c>
      <c r="DQ32" s="5">
        <v>0</v>
      </c>
      <c r="DR32" s="5">
        <v>0.14299999999999999</v>
      </c>
      <c r="DS32" s="5">
        <v>0.85699999999999998</v>
      </c>
      <c r="DT32" s="5">
        <v>0</v>
      </c>
      <c r="DU32" s="5">
        <v>0</v>
      </c>
      <c r="DV32" s="5">
        <v>0</v>
      </c>
      <c r="DW32" s="5">
        <v>0</v>
      </c>
      <c r="DX32" s="5">
        <v>1</v>
      </c>
      <c r="DY32" s="5">
        <v>0</v>
      </c>
      <c r="DZ32" s="5">
        <v>0</v>
      </c>
      <c r="EA32" s="5">
        <v>0</v>
      </c>
      <c r="EB32" s="5">
        <v>0.28599999999999998</v>
      </c>
      <c r="EC32" s="5">
        <v>0.42899999999999999</v>
      </c>
      <c r="ED32" s="5">
        <v>0.28599999999999998</v>
      </c>
      <c r="EE32" s="5">
        <v>0</v>
      </c>
      <c r="EF32" s="36">
        <f>VLOOKUP($A32,'[6]Updated (2)'!$A$2:$Q$54,2,FALSE)</f>
        <v>0</v>
      </c>
      <c r="EG32" s="36">
        <f>VLOOKUP($A32,'[6]Updated (2)'!$A$2:$Q$54,3,FALSE)</f>
        <v>0</v>
      </c>
      <c r="EH32" s="36">
        <f>VLOOKUP($A32,'[6]Updated (2)'!$A$2:$Q$54,4,FALSE)</f>
        <v>0</v>
      </c>
      <c r="EI32" s="36">
        <f>VLOOKUP($A32,'[6]Updated (2)'!$A$2:$Q$54,5,FALSE)</f>
        <v>0</v>
      </c>
      <c r="EJ32" s="48">
        <f>VLOOKUP($A32,'[6]Updated (2)'!$A$2:$Q$54,6,FALSE)</f>
        <v>0</v>
      </c>
      <c r="EK32" s="48">
        <f>VLOOKUP($A32,'[6]Updated (2)'!$A$2:$Q$54,7,FALSE)</f>
        <v>0</v>
      </c>
      <c r="EL32" s="48">
        <f>VLOOKUP($A32,'[6]Updated (2)'!$A$2:$Q$54,8,FALSE)</f>
        <v>0</v>
      </c>
      <c r="EM32" s="48">
        <f>VLOOKUP($A32,'[6]Updated (2)'!$A$2:$Q$54,9,FALSE)</f>
        <v>0</v>
      </c>
      <c r="EN32" s="36">
        <f>VLOOKUP($A32,'[6]Updated (2)'!$A$2:$Q$54,10,FALSE)</f>
        <v>0</v>
      </c>
      <c r="EO32" s="36">
        <f>VLOOKUP($A32,'[6]Updated (2)'!$A$2:$Q$54,11,FALSE)</f>
        <v>0</v>
      </c>
      <c r="EP32" s="36">
        <f>VLOOKUP($A32,'[6]Updated (2)'!$A$2:$Q$54,12,FALSE)</f>
        <v>0</v>
      </c>
      <c r="EQ32" s="36">
        <f>VLOOKUP($A32,'[6]Updated (2)'!$A$2:$Q$54,13,FALSE)</f>
        <v>0</v>
      </c>
      <c r="ER32" s="48">
        <f>VLOOKUP($A32,'[6]Updated (2)'!$A$2:$Q$54,14,FALSE)</f>
        <v>0</v>
      </c>
      <c r="ES32" s="48">
        <f>VLOOKUP($A32,'[6]Updated (2)'!$A$2:$Q$54,15,FALSE)</f>
        <v>0</v>
      </c>
      <c r="ET32" s="48">
        <f>VLOOKUP($A32,'[6]Updated (2)'!$A$2:$Q$54,16,FALSE)</f>
        <v>0</v>
      </c>
      <c r="EU32" s="48">
        <f>VLOOKUP($A32,'[6]Updated (2)'!$A$2:$Q$54,17,FALSE)</f>
        <v>0</v>
      </c>
      <c r="EV32" s="37">
        <f>VLOOKUP($A32,[7]Totals!$A32:$F83,3,FALSE)-SUM(EF32:EI32)</f>
        <v>31456103.159999959</v>
      </c>
      <c r="EW32" s="37">
        <f>VLOOKUP($A32,[7]Totals!$A32:$F83,4,FALSE)-SUM(EJ32:EM32)</f>
        <v>26280233.129999947</v>
      </c>
      <c r="EX32" s="37">
        <f>VLOOKUP($A32,[7]Totals!$A32:$F83,5,FALSE)-SUM(EN32:EQ32)</f>
        <v>28507497.079999987</v>
      </c>
      <c r="EY32" s="37">
        <f>VLOOKUP($A32,[7]Totals!$A32:$F83,6,FALSE)-SUM(ER32:EU32)</f>
        <v>30825320.72000001</v>
      </c>
      <c r="EZ32" s="52">
        <f t="shared" si="2"/>
        <v>28800.416733045811</v>
      </c>
      <c r="FA32" s="52">
        <f t="shared" si="3"/>
        <v>24025.225467610064</v>
      </c>
      <c r="FB32" s="52">
        <f t="shared" si="4"/>
        <v>26059.946869972195</v>
      </c>
      <c r="FC32" s="52">
        <f t="shared" si="5"/>
        <v>28455.280414293506</v>
      </c>
      <c r="FD32" s="37">
        <f>VLOOKUP($A32,[8]Totals!$A$2:$F$54,3)-SUM(EF32:EI32)</f>
        <v>30171151.149999972</v>
      </c>
      <c r="FE32" s="37">
        <f>VLOOKUP($A32,[8]Totals!$A$2:$F$54,4)-SUM(EJ32:EM32)</f>
        <v>24512458.719999965</v>
      </c>
      <c r="FF32" s="37">
        <f>VLOOKUP($A32,[8]Totals!$A$2:$F$54,5)-SUM(EN32:EQ32)</f>
        <v>26603773.120000001</v>
      </c>
      <c r="FG32" s="37">
        <f>VLOOKUP($A32,[8]Totals!$A$2:$F$54,6)-SUM(ER32:EU32)</f>
        <v>28787286.92000002</v>
      </c>
      <c r="FH32" s="52">
        <f t="shared" si="6"/>
        <v>27623.946997372281</v>
      </c>
      <c r="FI32" s="52">
        <f t="shared" si="7"/>
        <v>22409.137110781969</v>
      </c>
      <c r="FJ32" s="52">
        <f t="shared" si="8"/>
        <v>24319.669738189263</v>
      </c>
      <c r="FK32" s="52">
        <f t="shared" si="9"/>
        <v>26573.943191573835</v>
      </c>
      <c r="FL32" s="37">
        <f>VLOOKUP($A32,[9]Totals!$A$3:$F$54,3)-SUM(EF32:EI32)</f>
        <v>17564645.400000013</v>
      </c>
      <c r="FM32" s="37">
        <f>VLOOKUP($A32,[9]Totals!$A$3:$F$54,4)-SUM(EJ32:EM32)</f>
        <v>15938675.909999998</v>
      </c>
      <c r="FN32" s="37">
        <f>VLOOKUP($A32,[9]Totals!$A$3:$F$54,5)-SUM(EN32:EQ32)</f>
        <v>16717068.98</v>
      </c>
      <c r="FO32" s="37">
        <f>VLOOKUP($A32,[9]Totals!$A$3:$F$54,6)-SUM(ER32:EU32)</f>
        <v>16895145.229999986</v>
      </c>
      <c r="FP32" s="52">
        <f t="shared" si="10"/>
        <v>16081.747466146635</v>
      </c>
      <c r="FQ32" s="52">
        <f t="shared" si="11"/>
        <v>14571.038259009376</v>
      </c>
      <c r="FR32" s="52">
        <f t="shared" si="12"/>
        <v>15281.802124469796</v>
      </c>
      <c r="FS32" s="52">
        <f t="shared" si="13"/>
        <v>15596.142519546924</v>
      </c>
      <c r="FT32" s="37">
        <f>VLOOKUP($A32,[10]Calculations!$AF$3:$AJ$54,2,FALSE)-EI32</f>
        <v>9744769.3599999994</v>
      </c>
      <c r="FU32" s="37">
        <f>VLOOKUP($A32,[10]Calculations!$AF$3:$AJ$54,3,FALSE)-EM32</f>
        <v>5217692.080000001</v>
      </c>
      <c r="FV32" s="37">
        <f>VLOOKUP($A32,[10]Calculations!$AF$3:$AJ$54,4,FALSE)-EQ32</f>
        <v>5387817.830000001</v>
      </c>
      <c r="FW32" s="37">
        <f>VLOOKUP($A32,[10]Calculations!$AF$3:$AJ$54,5,FALSE)-EU32</f>
        <v>5366853.5582879391</v>
      </c>
      <c r="FX32" s="52">
        <f t="shared" si="14"/>
        <v>37336.281072796934</v>
      </c>
      <c r="FY32" s="52">
        <f t="shared" si="15"/>
        <v>21471.98386831276</v>
      </c>
      <c r="FZ32" s="52">
        <f t="shared" si="16"/>
        <v>20964.271712062262</v>
      </c>
      <c r="GA32" s="52">
        <f t="shared" si="17"/>
        <v>20964.271712062262</v>
      </c>
    </row>
    <row r="33" spans="1:183" ht="15.75" x14ac:dyDescent="0.25">
      <c r="A33" s="66" t="s">
        <v>289</v>
      </c>
      <c r="B33" s="66" t="s">
        <v>290</v>
      </c>
      <c r="C33" s="67">
        <v>1</v>
      </c>
      <c r="D33" s="68" t="s">
        <v>272</v>
      </c>
      <c r="E33">
        <v>6</v>
      </c>
      <c r="F33" s="27">
        <v>1053</v>
      </c>
      <c r="G33" s="27">
        <v>1026</v>
      </c>
      <c r="H33" s="27">
        <v>968</v>
      </c>
      <c r="I33" s="27">
        <v>974</v>
      </c>
      <c r="J33" s="23">
        <v>92</v>
      </c>
      <c r="K33" s="23">
        <v>85</v>
      </c>
      <c r="L33" s="23">
        <v>28</v>
      </c>
      <c r="M33" s="23">
        <v>80</v>
      </c>
      <c r="N33" s="27">
        <v>961</v>
      </c>
      <c r="O33" s="27">
        <v>941</v>
      </c>
      <c r="P33" s="27">
        <v>940</v>
      </c>
      <c r="Q33" s="27">
        <v>894</v>
      </c>
      <c r="R33" s="25">
        <f>VLOOKUP($A33,'ADM, LTADM'!$B:$L,2,FALSE)</f>
        <v>1071.6599999999999</v>
      </c>
      <c r="S33" s="25">
        <f>VLOOKUP($A33,'ADM, LTADM'!$B:$L,3,FALSE)</f>
        <v>1085.5900000000001</v>
      </c>
      <c r="T33" s="25">
        <f>VLOOKUP($A33,'ADM, LTADM'!$B:$L,4,FALSE)</f>
        <v>1057.9099999999999</v>
      </c>
      <c r="U33" s="25">
        <f>VLOOKUP($A33,'ADM, LTADM'!$B:$L,5,FALSE)</f>
        <v>1026.0300000000002</v>
      </c>
      <c r="V33" s="29">
        <f>VLOOKUP($A33,'ADM, LTADM'!$B:$L,7,FALSE)</f>
        <v>1070.2</v>
      </c>
      <c r="W33" s="29">
        <f>VLOOKUP($A33,'ADM, LTADM'!$B:$L,8,FALSE)</f>
        <v>1082.81</v>
      </c>
      <c r="X33" s="29">
        <f>VLOOKUP($A33,'ADM, LTADM'!$B:$L,9,FALSE)</f>
        <v>1077.79</v>
      </c>
      <c r="Y33" s="29">
        <f>VLOOKUP($A33,'ADM, LTADM'!$B:$L,10,FALSE)</f>
        <v>1047.5999999999999</v>
      </c>
      <c r="Z33" s="10">
        <v>1126.44</v>
      </c>
      <c r="AA33" s="10">
        <v>1079.56</v>
      </c>
      <c r="AB33" s="10">
        <v>1095.81</v>
      </c>
      <c r="AC33" s="10">
        <v>1090.81</v>
      </c>
      <c r="AD33" s="2">
        <v>0.49454148471615722</v>
      </c>
      <c r="AE33" s="2">
        <v>0.50975889781859929</v>
      </c>
      <c r="AF33" s="2">
        <v>0.5181119648737651</v>
      </c>
      <c r="AG33" s="2">
        <v>0.2533482142857143</v>
      </c>
      <c r="AH33" s="2">
        <f t="shared" si="0"/>
        <v>0.50747078246950716</v>
      </c>
      <c r="AI33" s="46">
        <f>VLOOKUP(A33,'[1]SU_SD IDEA 3-21'!$A:$B,2,FALSE)</f>
        <v>213</v>
      </c>
      <c r="AJ33" s="46">
        <f>VLOOKUP(A33,'[2]SU_SD IDEA 3-21'!$A:$B,2,FALSE)</f>
        <v>213</v>
      </c>
      <c r="AK33" s="46">
        <f>VLOOKUP(A33,'[3]SU_SD IDEA 3-21'!$A:$B,2,FALSE)</f>
        <v>237</v>
      </c>
      <c r="AL33" s="46">
        <f>VLOOKUP($A33,'[4]SU_SD IDEA 3-21'!$A:$B,2,FALSE)</f>
        <v>233</v>
      </c>
      <c r="AM33" s="22">
        <f t="shared" si="18"/>
        <v>0.19875706847320981</v>
      </c>
      <c r="AN33" s="22">
        <f t="shared" si="19"/>
        <v>0.19620667102681488</v>
      </c>
      <c r="AO33" s="22">
        <f t="shared" si="20"/>
        <v>0.22402661852142436</v>
      </c>
      <c r="AP33" s="22">
        <f t="shared" si="21"/>
        <v>0.22708887654357079</v>
      </c>
      <c r="AQ33" s="26" t="s">
        <v>222</v>
      </c>
      <c r="AR33" s="26" t="s">
        <v>222</v>
      </c>
      <c r="AS33" s="26" t="s">
        <v>222</v>
      </c>
      <c r="AT33" s="26" t="s">
        <v>222</v>
      </c>
      <c r="AU33" s="2">
        <v>0.42201834862385323</v>
      </c>
      <c r="AV33" s="2">
        <v>0.42028985507246375</v>
      </c>
      <c r="AW33" s="2">
        <v>0.49275362318840582</v>
      </c>
      <c r="AX33" s="2">
        <v>0.43117408906882593</v>
      </c>
      <c r="AY33" s="2">
        <v>0.35321100917431192</v>
      </c>
      <c r="AZ33" s="2">
        <v>0.26442307692307693</v>
      </c>
      <c r="BA33" s="2">
        <v>0.20289855072463769</v>
      </c>
      <c r="BB33" s="2">
        <v>0.29494949494949496</v>
      </c>
      <c r="BC33" s="2">
        <v>0.30666666666666664</v>
      </c>
      <c r="BD33" s="2" t="s">
        <v>222</v>
      </c>
      <c r="BE33" s="2" t="s">
        <v>222</v>
      </c>
      <c r="BF33" s="8">
        <v>0.31</v>
      </c>
      <c r="BG33" s="2">
        <v>0.22666666666666666</v>
      </c>
      <c r="BH33" s="2" t="s">
        <v>222</v>
      </c>
      <c r="BI33" s="2" t="s">
        <v>222</v>
      </c>
      <c r="BJ33" s="8">
        <v>0.23</v>
      </c>
      <c r="BK33" s="31">
        <f>VLOOKUP($A33,[5]FY20!$W:$AF,7,FALSE)</f>
        <v>10.109261186264309</v>
      </c>
      <c r="BL33" s="31">
        <f>VLOOKUP($A33,[5]FY20!$W:$AF,8,FALSE)</f>
        <v>1.7981269510926119</v>
      </c>
      <c r="BM33" s="31">
        <f>VLOOKUP($A33,[5]FY20!$W:$AF,9,FALSE)</f>
        <v>1.9053069719042661</v>
      </c>
      <c r="BN33" s="31">
        <f>VLOOKUP($A33,[5]FY20!$W:$AF,10,FALSE)</f>
        <v>6.3704474505723221</v>
      </c>
      <c r="BO33" s="55">
        <f>VLOOKUP($A33,[5]FY21!$W:$AF,7,FALSE)</f>
        <v>10.080765143464401</v>
      </c>
      <c r="BP33" s="55">
        <f>VLOOKUP($A33,[5]FY21!$W:$AF,8,FALSE)</f>
        <v>1.5515409139213603</v>
      </c>
      <c r="BQ33" s="55">
        <f>VLOOKUP($A33,[5]FY21!$W:$AF,9,FALSE)</f>
        <v>2.6354941551540905</v>
      </c>
      <c r="BR33" s="55">
        <f>VLOOKUP($A33,[5]FY21!$W:$AF,10,FALSE)</f>
        <v>7.2848034006376201</v>
      </c>
      <c r="BS33" s="31">
        <f>VLOOKUP($A33,[5]FY22!$W:$AF,7,FALSE)</f>
        <v>10.192553191489363</v>
      </c>
      <c r="BT33" s="31">
        <f>VLOOKUP($A33,[5]FY22!$W:$AF,8,FALSE)</f>
        <v>1.7234042553191493</v>
      </c>
      <c r="BU33" s="31">
        <f>VLOOKUP($A33,[5]FY22!$W:$AF,9,FALSE)</f>
        <v>2.7234042553191484</v>
      </c>
      <c r="BV33" s="31">
        <f>VLOOKUP($A33,[5]FY22!$W:$AF,10,FALSE)</f>
        <v>7.018085106382979</v>
      </c>
      <c r="BW33" s="55">
        <f>VLOOKUP($A33,[5]FY23!$W:$AF,7,FALSE)</f>
        <v>9.9217002237136462</v>
      </c>
      <c r="BX33" s="55">
        <f>VLOOKUP($A33,[5]FY23!$W:$AF,8,FALSE)</f>
        <v>1.9015659955257269</v>
      </c>
      <c r="BY33" s="55">
        <f>VLOOKUP($A33,[5]FY23!$W:$AF,9,FALSE)</f>
        <v>2.4384787472035789</v>
      </c>
      <c r="BZ33" s="55">
        <f>VLOOKUP($A33,[5]FY23!$W:$AF,10,FALSE)</f>
        <v>6.9888143176733779</v>
      </c>
      <c r="CA33" s="37">
        <f>VLOOKUP($A33,[5]FY20!$W:$AF,3,FALSE)</f>
        <v>57615.958106021608</v>
      </c>
      <c r="CB33" s="37">
        <f>VLOOKUP($A33,[5]FY20!$W:$AF,4,FALSE)</f>
        <v>69996.665509259241</v>
      </c>
      <c r="CC33" s="37">
        <f>VLOOKUP($A33,[5]FY20!$W:$AF,5,FALSE)</f>
        <v>55576.530857454949</v>
      </c>
      <c r="CD33" s="37">
        <f>VLOOKUP($A33,[5]FY20!$W:$AF,6,FALSE)</f>
        <v>39906.147990852667</v>
      </c>
      <c r="CE33" s="52">
        <f>VLOOKUP($A33,[5]FY21!$W:$AF,3,FALSE)</f>
        <v>57608.359687961209</v>
      </c>
      <c r="CF33" s="52">
        <f>VLOOKUP($A33,[5]FY21!$W:$AF,4,FALSE)</f>
        <v>79688.76712328766</v>
      </c>
      <c r="CG33" s="52">
        <f>VLOOKUP($A33,[5]FY21!$W:$AF,5,FALSE)</f>
        <v>50997.580645161303</v>
      </c>
      <c r="CH33" s="52">
        <f>VLOOKUP($A33,[5]FY21!$W:$AF,6,FALSE)</f>
        <v>40731.174325309992</v>
      </c>
      <c r="CI33" s="37">
        <f>VLOOKUP($A33,[5]FY22!$W:$AF,3,FALSE)</f>
        <v>58783.749086734155</v>
      </c>
      <c r="CJ33" s="37">
        <f>VLOOKUP($A33,[5]FY22!$W:$AF,4,FALSE)</f>
        <v>80121.604938271586</v>
      </c>
      <c r="CK33" s="37">
        <f>VLOOKUP($A33,[5]FY22!$W:$AF,5,FALSE)</f>
        <v>56342.421875000007</v>
      </c>
      <c r="CL33" s="37">
        <f>VLOOKUP($A33,[5]FY22!$W:$AF,6,FALSE)</f>
        <v>45675.352432924054</v>
      </c>
      <c r="CM33" s="52">
        <f>VLOOKUP($A33,[5]FY23!$W:$AF,3,FALSE)</f>
        <v>61532.953776775648</v>
      </c>
      <c r="CN33" s="52">
        <f>VLOOKUP($A33,[5]FY23!$W:$AF,4,FALSE)</f>
        <v>80328</v>
      </c>
      <c r="CO33" s="52">
        <f>VLOOKUP($A33,[5]FY23!$W:$AF,5,FALSE)</f>
        <v>54955.871559633037</v>
      </c>
      <c r="CP33" s="52">
        <f>VLOOKUP($A33,[5]FY23!$W:$AF,6,FALSE)</f>
        <v>47522.535211267605</v>
      </c>
      <c r="CQ33" s="5">
        <v>0.77900000000000003</v>
      </c>
      <c r="CR33" s="4">
        <v>0.88200000000000001</v>
      </c>
      <c r="CS33" s="4">
        <v>0.84199999999999997</v>
      </c>
      <c r="CT33" s="4">
        <v>0.91400000000000003</v>
      </c>
      <c r="CU33" s="4">
        <v>0.90100000000000002</v>
      </c>
      <c r="CV33" s="4">
        <v>0.76600000000000001</v>
      </c>
      <c r="CW33" s="4">
        <v>0.64200000000000002</v>
      </c>
      <c r="CX33" s="4">
        <v>0.85699999999999998</v>
      </c>
      <c r="CY33" t="s">
        <v>223</v>
      </c>
      <c r="CZ33" t="s">
        <v>223</v>
      </c>
      <c r="DA33" t="s">
        <v>223</v>
      </c>
      <c r="DB33">
        <v>0</v>
      </c>
      <c r="DC33">
        <v>2</v>
      </c>
      <c r="DD33">
        <v>4</v>
      </c>
      <c r="DE33">
        <v>0</v>
      </c>
      <c r="DF33">
        <v>0</v>
      </c>
      <c r="DG33">
        <v>0</v>
      </c>
      <c r="DH33">
        <v>2</v>
      </c>
      <c r="DI33">
        <v>4</v>
      </c>
      <c r="DJ33">
        <v>0</v>
      </c>
      <c r="DK33">
        <v>0</v>
      </c>
      <c r="DL33">
        <v>0</v>
      </c>
      <c r="DM33">
        <v>0</v>
      </c>
      <c r="DN33">
        <v>2</v>
      </c>
      <c r="DO33">
        <v>1</v>
      </c>
      <c r="DP33">
        <v>0</v>
      </c>
      <c r="DQ33" s="5">
        <v>0</v>
      </c>
      <c r="DR33" s="5">
        <v>0.33300000000000002</v>
      </c>
      <c r="DS33" s="5">
        <v>0.66700000000000004</v>
      </c>
      <c r="DT33" s="5">
        <v>0</v>
      </c>
      <c r="DU33" s="5">
        <v>0</v>
      </c>
      <c r="DV33" s="5">
        <v>0</v>
      </c>
      <c r="DW33" s="5">
        <v>0.33300000000000002</v>
      </c>
      <c r="DX33" s="5">
        <v>0.66700000000000004</v>
      </c>
      <c r="DY33" s="5">
        <v>0</v>
      </c>
      <c r="DZ33" s="5">
        <v>0</v>
      </c>
      <c r="EA33" s="5">
        <v>0</v>
      </c>
      <c r="EB33" s="5">
        <v>0</v>
      </c>
      <c r="EC33" s="5">
        <v>0.33300000000000002</v>
      </c>
      <c r="ED33" s="5">
        <v>0.16700000000000001</v>
      </c>
      <c r="EE33" s="5">
        <v>0</v>
      </c>
      <c r="EF33" s="36">
        <f>VLOOKUP($A33,'[6]Updated (2)'!$A$2:$Q$54,2,FALSE)</f>
        <v>767060</v>
      </c>
      <c r="EG33" s="36">
        <f>VLOOKUP($A33,'[6]Updated (2)'!$A$2:$Q$54,3,FALSE)</f>
        <v>0</v>
      </c>
      <c r="EH33" s="36">
        <f>VLOOKUP($A33,'[6]Updated (2)'!$A$2:$Q$54,4,FALSE)</f>
        <v>0</v>
      </c>
      <c r="EI33" s="36">
        <f>VLOOKUP($A33,'[6]Updated (2)'!$A$2:$Q$54,5,FALSE)</f>
        <v>0</v>
      </c>
      <c r="EJ33" s="48">
        <f>VLOOKUP($A33,'[6]Updated (2)'!$A$2:$Q$54,6,FALSE)</f>
        <v>601137.72</v>
      </c>
      <c r="EK33" s="48">
        <f>VLOOKUP($A33,'[6]Updated (2)'!$A$2:$Q$54,7,FALSE)</f>
        <v>0</v>
      </c>
      <c r="EL33" s="48">
        <f>VLOOKUP($A33,'[6]Updated (2)'!$A$2:$Q$54,8,FALSE)</f>
        <v>0</v>
      </c>
      <c r="EM33" s="48">
        <f>VLOOKUP($A33,'[6]Updated (2)'!$A$2:$Q$54,9,FALSE)</f>
        <v>0</v>
      </c>
      <c r="EN33" s="36">
        <f>VLOOKUP($A33,'[6]Updated (2)'!$A$2:$Q$54,10,FALSE)</f>
        <v>654500</v>
      </c>
      <c r="EO33" s="36">
        <f>VLOOKUP($A33,'[6]Updated (2)'!$A$2:$Q$54,11,FALSE)</f>
        <v>0</v>
      </c>
      <c r="EP33" s="36">
        <f>VLOOKUP($A33,'[6]Updated (2)'!$A$2:$Q$54,12,FALSE)</f>
        <v>215864.59999999998</v>
      </c>
      <c r="EQ33" s="36">
        <f>VLOOKUP($A33,'[6]Updated (2)'!$A$2:$Q$54,13,FALSE)</f>
        <v>0</v>
      </c>
      <c r="ER33" s="48">
        <f>VLOOKUP($A33,'[6]Updated (2)'!$A$2:$Q$54,14,FALSE)</f>
        <v>557163</v>
      </c>
      <c r="ES33" s="48">
        <f>VLOOKUP($A33,'[6]Updated (2)'!$A$2:$Q$54,15,FALSE)</f>
        <v>0</v>
      </c>
      <c r="ET33" s="48">
        <f>VLOOKUP($A33,'[6]Updated (2)'!$A$2:$Q$54,16,FALSE)</f>
        <v>0</v>
      </c>
      <c r="EU33" s="48">
        <f>VLOOKUP($A33,'[6]Updated (2)'!$A$2:$Q$54,17,FALSE)</f>
        <v>0</v>
      </c>
      <c r="EV33" s="37">
        <f>VLOOKUP($A33,[7]Totals!$A33:$F84,3,FALSE)-SUM(EF33:EI33)</f>
        <v>28133942.450000029</v>
      </c>
      <c r="EW33" s="37">
        <f>VLOOKUP($A33,[7]Totals!$A33:$F84,4,FALSE)-SUM(EJ33:EM33)</f>
        <v>28894961.129999977</v>
      </c>
      <c r="EX33" s="37">
        <f>VLOOKUP($A33,[7]Totals!$A33:$F84,5,FALSE)-SUM(EN33:EQ33)</f>
        <v>29750020.88999996</v>
      </c>
      <c r="EY33" s="37">
        <f>VLOOKUP($A33,[7]Totals!$A33:$F84,6,FALSE)-SUM(ER33:EU33)</f>
        <v>30955285.749999993</v>
      </c>
      <c r="EZ33" s="52">
        <f t="shared" si="2"/>
        <v>26288.490422350988</v>
      </c>
      <c r="FA33" s="52">
        <f t="shared" si="3"/>
        <v>26685.162798644247</v>
      </c>
      <c r="FB33" s="52">
        <f t="shared" si="4"/>
        <v>27602.799144545748</v>
      </c>
      <c r="FC33" s="52">
        <f t="shared" si="5"/>
        <v>29548.76455708285</v>
      </c>
      <c r="FD33" s="37">
        <f>VLOOKUP($A33,[8]Totals!$A$2:$F$54,3)-SUM(EF33:EI33)</f>
        <v>27976059.070000023</v>
      </c>
      <c r="FE33" s="37">
        <f>VLOOKUP($A33,[8]Totals!$A$2:$F$54,4)-SUM(EJ33:EM33)</f>
        <v>28812397.189999945</v>
      </c>
      <c r="FF33" s="37">
        <f>VLOOKUP($A33,[8]Totals!$A$2:$F$54,5)-SUM(EN33:EQ33)</f>
        <v>29622894.08999997</v>
      </c>
      <c r="FG33" s="37">
        <f>VLOOKUP($A33,[8]Totals!$A$2:$F$54,6)-SUM(ER33:EU33)</f>
        <v>30238247.469999999</v>
      </c>
      <c r="FH33" s="52">
        <f t="shared" si="6"/>
        <v>26140.963436740814</v>
      </c>
      <c r="FI33" s="52">
        <f t="shared" si="7"/>
        <v>26608.913096480406</v>
      </c>
      <c r="FJ33" s="52">
        <f t="shared" si="8"/>
        <v>27484.847781107612</v>
      </c>
      <c r="FK33" s="52">
        <f t="shared" si="9"/>
        <v>28864.306481481482</v>
      </c>
      <c r="FL33" s="37">
        <f>VLOOKUP($A33,[9]Totals!$A$3:$F$54,3)-SUM(EF33:EI33)</f>
        <v>25292682.500000011</v>
      </c>
      <c r="FM33" s="37">
        <f>VLOOKUP($A33,[9]Totals!$A$3:$F$54,4)-SUM(EJ33:EM33)</f>
        <v>25172257.650000002</v>
      </c>
      <c r="FN33" s="37">
        <f>VLOOKUP($A33,[9]Totals!$A$3:$F$54,5)-SUM(EN33:EQ33)</f>
        <v>25414181.070000011</v>
      </c>
      <c r="FO33" s="37">
        <f>VLOOKUP($A33,[9]Totals!$A$3:$F$54,6)-SUM(ER33:EU33)</f>
        <v>25522773.239999998</v>
      </c>
      <c r="FP33" s="52">
        <f t="shared" si="10"/>
        <v>23633.603532050092</v>
      </c>
      <c r="FQ33" s="52">
        <f t="shared" si="11"/>
        <v>23247.16030513202</v>
      </c>
      <c r="FR33" s="52">
        <f t="shared" si="12"/>
        <v>23579.90060215813</v>
      </c>
      <c r="FS33" s="52">
        <f t="shared" si="13"/>
        <v>24363.0901489118</v>
      </c>
      <c r="FT33" s="37">
        <f>VLOOKUP($A33,[10]Calculations!$AF$3:$AJ$54,2,FALSE)-EI33</f>
        <v>6260515.5999999912</v>
      </c>
      <c r="FU33" s="37">
        <f>VLOOKUP($A33,[10]Calculations!$AF$3:$AJ$54,3,FALSE)-EM33</f>
        <v>5384883.0599999977</v>
      </c>
      <c r="FV33" s="37">
        <f>VLOOKUP($A33,[10]Calculations!$AF$3:$AJ$54,4,FALSE)-EQ33</f>
        <v>5596086.0400000038</v>
      </c>
      <c r="FW33" s="37">
        <f>VLOOKUP($A33,[10]Calculations!$AF$3:$AJ$54,5,FALSE)-EU33</f>
        <v>5501637.3304641386</v>
      </c>
      <c r="FX33" s="52">
        <f t="shared" si="14"/>
        <v>29392.092018779302</v>
      </c>
      <c r="FY33" s="52">
        <f t="shared" si="15"/>
        <v>25281.141126760554</v>
      </c>
      <c r="FZ33" s="52">
        <f t="shared" si="16"/>
        <v>23612.17738396626</v>
      </c>
      <c r="GA33" s="52">
        <f t="shared" si="17"/>
        <v>23612.17738396626</v>
      </c>
    </row>
    <row r="34" spans="1:183" ht="15.75" x14ac:dyDescent="0.25">
      <c r="A34" s="66" t="s">
        <v>291</v>
      </c>
      <c r="B34" s="66" t="s">
        <v>292</v>
      </c>
      <c r="C34" s="67">
        <v>3</v>
      </c>
      <c r="D34" s="68" t="s">
        <v>231</v>
      </c>
      <c r="E34">
        <v>5</v>
      </c>
      <c r="F34" s="27">
        <v>1501</v>
      </c>
      <c r="G34" s="27">
        <v>1455</v>
      </c>
      <c r="H34" s="27">
        <v>1462</v>
      </c>
      <c r="I34" s="27">
        <v>1428</v>
      </c>
      <c r="J34" s="23">
        <v>153</v>
      </c>
      <c r="K34" s="23">
        <v>130</v>
      </c>
      <c r="L34" s="23">
        <v>139</v>
      </c>
      <c r="M34" s="23">
        <v>123</v>
      </c>
      <c r="N34" s="27">
        <v>1343</v>
      </c>
      <c r="O34" s="27">
        <v>1321</v>
      </c>
      <c r="P34" s="27">
        <v>1319</v>
      </c>
      <c r="Q34" s="27">
        <v>1302</v>
      </c>
      <c r="R34" s="25">
        <f>VLOOKUP($A34,'ADM, LTADM'!$B:$L,2,FALSE)</f>
        <v>1580.84</v>
      </c>
      <c r="S34" s="25">
        <f>VLOOKUP($A34,'ADM, LTADM'!$B:$L,3,FALSE)</f>
        <v>1579.25</v>
      </c>
      <c r="T34" s="25">
        <f>VLOOKUP($A34,'ADM, LTADM'!$B:$L,4,FALSE)</f>
        <v>1549.65</v>
      </c>
      <c r="U34" s="25">
        <f>VLOOKUP($A34,'ADM, LTADM'!$B:$L,5,FALSE)</f>
        <v>1509.23</v>
      </c>
      <c r="V34" s="29">
        <f>VLOOKUP($A34,'ADM, LTADM'!$B:$L,7,FALSE)</f>
        <v>1582.2700000000002</v>
      </c>
      <c r="W34" s="29">
        <f>VLOOKUP($A34,'ADM, LTADM'!$B:$L,8,FALSE)</f>
        <v>1590.9300000000003</v>
      </c>
      <c r="X34" s="29">
        <f>VLOOKUP($A34,'ADM, LTADM'!$B:$L,9,FALSE)</f>
        <v>1570.0700000000002</v>
      </c>
      <c r="Y34" s="29">
        <f>VLOOKUP($A34,'ADM, LTADM'!$B:$L,10,FALSE)</f>
        <v>1536.86</v>
      </c>
      <c r="Z34" s="10">
        <v>1619.11</v>
      </c>
      <c r="AA34" s="10">
        <v>1600.56</v>
      </c>
      <c r="AB34" s="10">
        <v>1594.02</v>
      </c>
      <c r="AC34" s="10">
        <v>1577.55</v>
      </c>
      <c r="AD34" s="2">
        <v>0.35445836403831982</v>
      </c>
      <c r="AE34" s="2">
        <v>0.33383233532934131</v>
      </c>
      <c r="AF34" s="2">
        <v>0.42619227857683573</v>
      </c>
      <c r="AG34" s="2">
        <v>0.40243902439024393</v>
      </c>
      <c r="AH34" s="2">
        <f t="shared" si="0"/>
        <v>0.37149432598149895</v>
      </c>
      <c r="AI34" s="46">
        <f>VLOOKUP(A34,'[1]SU_SD IDEA 3-21'!$A:$B,2,FALSE)</f>
        <v>216</v>
      </c>
      <c r="AJ34" s="46">
        <f>VLOOKUP(A34,'[2]SU_SD IDEA 3-21'!$A:$B,2,FALSE)</f>
        <v>208</v>
      </c>
      <c r="AK34" s="46">
        <f>VLOOKUP(A34,'[3]SU_SD IDEA 3-21'!$A:$B,2,FALSE)</f>
        <v>202</v>
      </c>
      <c r="AL34" s="46">
        <f>VLOOKUP($A34,'[4]SU_SD IDEA 3-21'!$A:$B,2,FALSE)</f>
        <v>197</v>
      </c>
      <c r="AM34" s="22">
        <f t="shared" si="18"/>
        <v>0.13663621871916198</v>
      </c>
      <c r="AN34" s="22">
        <f t="shared" si="19"/>
        <v>0.13170808928288744</v>
      </c>
      <c r="AO34" s="22">
        <f t="shared" si="20"/>
        <v>0.1303520149711225</v>
      </c>
      <c r="AP34" s="22">
        <f t="shared" si="21"/>
        <v>0.13053013788488169</v>
      </c>
      <c r="AQ34" s="26" t="s">
        <v>222</v>
      </c>
      <c r="AR34" s="26" t="s">
        <v>222</v>
      </c>
      <c r="AS34" s="26" t="s">
        <v>222</v>
      </c>
      <c r="AT34" s="26" t="s">
        <v>222</v>
      </c>
      <c r="AU34" s="2">
        <v>0.452914798206278</v>
      </c>
      <c r="AV34" s="2">
        <v>0.38565022421524664</v>
      </c>
      <c r="AW34" s="2" t="s">
        <v>222</v>
      </c>
      <c r="AX34" s="2">
        <v>0.41928251121076232</v>
      </c>
      <c r="AY34" s="2">
        <v>0.4434389140271493</v>
      </c>
      <c r="AZ34" s="2">
        <v>0.29596412556053814</v>
      </c>
      <c r="BA34" s="2" t="s">
        <v>222</v>
      </c>
      <c r="BB34" s="2">
        <v>0.36936936936936937</v>
      </c>
      <c r="BC34" s="2">
        <v>0.37815126050420167</v>
      </c>
      <c r="BD34" s="2" t="s">
        <v>222</v>
      </c>
      <c r="BE34" s="2" t="s">
        <v>222</v>
      </c>
      <c r="BF34" s="8">
        <v>0.38</v>
      </c>
      <c r="BG34" s="2">
        <v>0.29411764705882354</v>
      </c>
      <c r="BH34" s="2" t="s">
        <v>222</v>
      </c>
      <c r="BI34" s="2" t="s">
        <v>222</v>
      </c>
      <c r="BJ34" s="8">
        <v>0.28999999999999998</v>
      </c>
      <c r="BK34" s="31">
        <f>VLOOKUP($A34,[5]FY20!$W:$AF,7,FALSE)</f>
        <v>9.9962908011869445</v>
      </c>
      <c r="BL34" s="31">
        <f>VLOOKUP($A34,[5]FY20!$W:$AF,8,FALSE)</f>
        <v>1.1127596439169141</v>
      </c>
      <c r="BM34" s="31">
        <f>VLOOKUP($A34,[5]FY20!$W:$AF,9,FALSE)</f>
        <v>3.827893175074184</v>
      </c>
      <c r="BN34" s="31">
        <f>VLOOKUP($A34,[5]FY20!$W:$AF,10,FALSE)</f>
        <v>4.3175074183976268</v>
      </c>
      <c r="BO34" s="55">
        <f>VLOOKUP($A34,[5]FY21!$W:$AF,7,FALSE)</f>
        <v>10.32</v>
      </c>
      <c r="BP34" s="55">
        <f>VLOOKUP($A34,[5]FY21!$W:$AF,8,FALSE)</f>
        <v>1.2830188679245282</v>
      </c>
      <c r="BQ34" s="55">
        <f>VLOOKUP($A34,[5]FY21!$W:$AF,9,FALSE)</f>
        <v>3.6483018867924524</v>
      </c>
      <c r="BR34" s="55">
        <f>VLOOKUP($A34,[5]FY21!$W:$AF,10,FALSE)</f>
        <v>4.3116981132075471</v>
      </c>
      <c r="BS34" s="31">
        <f>VLOOKUP($A34,[5]FY22!$W:$AF,7,FALSE)</f>
        <v>10.513227513227513</v>
      </c>
      <c r="BT34" s="31">
        <f>VLOOKUP($A34,[5]FY22!$W:$AF,8,FALSE)</f>
        <v>1.0582010582010581</v>
      </c>
      <c r="BU34" s="31">
        <f>VLOOKUP($A34,[5]FY22!$W:$AF,9,FALSE)</f>
        <v>3.406651549508692</v>
      </c>
      <c r="BV34" s="31">
        <f>VLOOKUP($A34,[5]FY22!$W:$AF,10,FALSE)</f>
        <v>4.2660619803476942</v>
      </c>
      <c r="BW34" s="55">
        <f>VLOOKUP($A34,[5]FY23!$W:$AF,7,FALSE)</f>
        <v>9.8237547892720301</v>
      </c>
      <c r="BX34" s="55">
        <f>VLOOKUP($A34,[5]FY23!$W:$AF,8,FALSE)</f>
        <v>1.3026819923371646</v>
      </c>
      <c r="BY34" s="55">
        <f>VLOOKUP($A34,[5]FY23!$W:$AF,9,FALSE)</f>
        <v>3.4636015325670502</v>
      </c>
      <c r="BZ34" s="55">
        <f>VLOOKUP($A34,[5]FY23!$W:$AF,10,FALSE)</f>
        <v>4.9501915708812261</v>
      </c>
      <c r="CA34" s="37">
        <f>VLOOKUP($A34,[5]FY20!$W:$AF,3,FALSE)</f>
        <v>59501.57588126159</v>
      </c>
      <c r="CB34" s="37">
        <f>VLOOKUP($A34,[5]FY20!$W:$AF,4,FALSE)</f>
        <v>82185.289333333334</v>
      </c>
      <c r="CC34" s="37">
        <f>VLOOKUP($A34,[5]FY20!$W:$AF,5,FALSE)</f>
        <v>44784.525193798458</v>
      </c>
      <c r="CD34" s="37">
        <f>VLOOKUP($A34,[5]FY20!$W:$AF,6,FALSE)</f>
        <v>42740.988659793817</v>
      </c>
      <c r="CE34" s="52">
        <f>VLOOKUP($A34,[5]FY21!$W:$AF,3,FALSE)</f>
        <v>62870.084759397396</v>
      </c>
      <c r="CF34" s="52">
        <f>VLOOKUP($A34,[5]FY21!$W:$AF,4,FALSE)</f>
        <v>72754.881764705875</v>
      </c>
      <c r="CG34" s="52">
        <f>VLOOKUP($A34,[5]FY21!$W:$AF,5,FALSE)</f>
        <v>48595.963177492762</v>
      </c>
      <c r="CH34" s="52">
        <f>VLOOKUP($A34,[5]FY21!$W:$AF,6,FALSE)</f>
        <v>40674.413443024678</v>
      </c>
      <c r="CI34" s="37">
        <f>VLOOKUP($A34,[5]FY22!$W:$AF,3,FALSE)</f>
        <v>64084.833057732416</v>
      </c>
      <c r="CJ34" s="37">
        <f>VLOOKUP($A34,[5]FY22!$W:$AF,4,FALSE)</f>
        <v>93215.112142857164</v>
      </c>
      <c r="CK34" s="37">
        <f>VLOOKUP($A34,[5]FY22!$W:$AF,5,FALSE)</f>
        <v>51299.205680053252</v>
      </c>
      <c r="CL34" s="37">
        <f>VLOOKUP($A34,[5]FY22!$W:$AF,6,FALSE)</f>
        <v>44859.670623671162</v>
      </c>
      <c r="CM34" s="52">
        <f>VLOOKUP($A34,[5]FY23!$W:$AF,3,FALSE)</f>
        <v>68247.191887675508</v>
      </c>
      <c r="CN34" s="52">
        <f>VLOOKUP($A34,[5]FY23!$W:$AF,4,FALSE)</f>
        <v>94603.823529411762</v>
      </c>
      <c r="CO34" s="52">
        <f>VLOOKUP($A34,[5]FY23!$W:$AF,5,FALSE)</f>
        <v>54997.898230088489</v>
      </c>
      <c r="CP34" s="52">
        <f>VLOOKUP($A34,[5]FY23!$W:$AF,6,FALSE)</f>
        <v>49671.749226006199</v>
      </c>
      <c r="CQ34" s="5">
        <v>0.80700000000000005</v>
      </c>
      <c r="CR34" s="4">
        <v>0.79700000000000004</v>
      </c>
      <c r="CS34" s="4">
        <v>0.85299999999999998</v>
      </c>
      <c r="CT34" s="4">
        <v>0.79700000000000004</v>
      </c>
      <c r="CU34" s="4">
        <v>0.75</v>
      </c>
      <c r="CV34" s="4">
        <v>0.80700000000000005</v>
      </c>
      <c r="CW34" s="4">
        <v>0.747</v>
      </c>
      <c r="CX34" s="4">
        <v>0.83299999999999996</v>
      </c>
      <c r="CY34" t="s">
        <v>223</v>
      </c>
      <c r="CZ34" t="s">
        <v>223</v>
      </c>
      <c r="DA34" t="s">
        <v>257</v>
      </c>
      <c r="DB34">
        <v>0</v>
      </c>
      <c r="DC34">
        <v>1</v>
      </c>
      <c r="DD34">
        <v>2</v>
      </c>
      <c r="DE34">
        <v>0</v>
      </c>
      <c r="DF34">
        <v>2</v>
      </c>
      <c r="DG34">
        <v>0</v>
      </c>
      <c r="DH34">
        <v>1</v>
      </c>
      <c r="DI34">
        <v>2</v>
      </c>
      <c r="DJ34">
        <v>0</v>
      </c>
      <c r="DK34">
        <v>2</v>
      </c>
      <c r="DL34">
        <v>0</v>
      </c>
      <c r="DM34">
        <v>1</v>
      </c>
      <c r="DN34">
        <v>0</v>
      </c>
      <c r="DO34">
        <v>2</v>
      </c>
      <c r="DP34">
        <v>0</v>
      </c>
      <c r="DQ34" s="5">
        <v>0</v>
      </c>
      <c r="DR34" s="5">
        <v>0.2</v>
      </c>
      <c r="DS34" s="5">
        <v>0.4</v>
      </c>
      <c r="DT34" s="5">
        <v>0</v>
      </c>
      <c r="DU34" s="5">
        <v>0.4</v>
      </c>
      <c r="DV34" s="5">
        <v>0</v>
      </c>
      <c r="DW34" s="5">
        <v>0.2</v>
      </c>
      <c r="DX34" s="5">
        <v>0.4</v>
      </c>
      <c r="DY34" s="5">
        <v>0</v>
      </c>
      <c r="DZ34" s="5">
        <v>0.4</v>
      </c>
      <c r="EA34" s="5">
        <v>0</v>
      </c>
      <c r="EB34" s="5">
        <v>0.2</v>
      </c>
      <c r="EC34" s="5">
        <v>0</v>
      </c>
      <c r="ED34" s="5">
        <v>0.4</v>
      </c>
      <c r="EE34" s="5">
        <v>0</v>
      </c>
      <c r="EF34" s="36">
        <f>VLOOKUP($A34,'[6]Updated (2)'!$A$2:$Q$54,2,FALSE)</f>
        <v>0</v>
      </c>
      <c r="EG34" s="36">
        <f>VLOOKUP($A34,'[6]Updated (2)'!$A$2:$Q$54,3,FALSE)</f>
        <v>0</v>
      </c>
      <c r="EH34" s="36">
        <f>VLOOKUP($A34,'[6]Updated (2)'!$A$2:$Q$54,4,FALSE)</f>
        <v>0</v>
      </c>
      <c r="EI34" s="36">
        <f>VLOOKUP($A34,'[6]Updated (2)'!$A$2:$Q$54,5,FALSE)</f>
        <v>0</v>
      </c>
      <c r="EJ34" s="48">
        <f>VLOOKUP($A34,'[6]Updated (2)'!$A$2:$Q$54,6,FALSE)</f>
        <v>0</v>
      </c>
      <c r="EK34" s="48">
        <f>VLOOKUP($A34,'[6]Updated (2)'!$A$2:$Q$54,7,FALSE)</f>
        <v>0</v>
      </c>
      <c r="EL34" s="48">
        <f>VLOOKUP($A34,'[6]Updated (2)'!$A$2:$Q$54,8,FALSE)</f>
        <v>0</v>
      </c>
      <c r="EM34" s="48">
        <f>VLOOKUP($A34,'[6]Updated (2)'!$A$2:$Q$54,9,FALSE)</f>
        <v>0</v>
      </c>
      <c r="EN34" s="36">
        <f>VLOOKUP($A34,'[6]Updated (2)'!$A$2:$Q$54,10,FALSE)</f>
        <v>0</v>
      </c>
      <c r="EO34" s="36">
        <f>VLOOKUP($A34,'[6]Updated (2)'!$A$2:$Q$54,11,FALSE)</f>
        <v>0</v>
      </c>
      <c r="EP34" s="36">
        <f>VLOOKUP($A34,'[6]Updated (2)'!$A$2:$Q$54,12,FALSE)</f>
        <v>0</v>
      </c>
      <c r="EQ34" s="36">
        <f>VLOOKUP($A34,'[6]Updated (2)'!$A$2:$Q$54,13,FALSE)</f>
        <v>0</v>
      </c>
      <c r="ER34" s="48">
        <f>VLOOKUP($A34,'[6]Updated (2)'!$A$2:$Q$54,14,FALSE)</f>
        <v>0</v>
      </c>
      <c r="ES34" s="48">
        <f>VLOOKUP($A34,'[6]Updated (2)'!$A$2:$Q$54,15,FALSE)</f>
        <v>0</v>
      </c>
      <c r="ET34" s="48">
        <f>VLOOKUP($A34,'[6]Updated (2)'!$A$2:$Q$54,16,FALSE)</f>
        <v>0</v>
      </c>
      <c r="EU34" s="48">
        <f>VLOOKUP($A34,'[6]Updated (2)'!$A$2:$Q$54,17,FALSE)</f>
        <v>0</v>
      </c>
      <c r="EV34" s="37">
        <f>VLOOKUP($A34,[7]Totals!$A34:$F85,3,FALSE)-SUM(EF34:EI34)</f>
        <v>31966792.529999953</v>
      </c>
      <c r="EW34" s="37">
        <f>VLOOKUP($A34,[7]Totals!$A34:$F85,4,FALSE)-SUM(EJ34:EM34)</f>
        <v>38828490.210000113</v>
      </c>
      <c r="EX34" s="37">
        <f>VLOOKUP($A34,[7]Totals!$A34:$F85,5,FALSE)-SUM(EN34:EQ34)</f>
        <v>35693061.340000004</v>
      </c>
      <c r="EY34" s="37">
        <f>VLOOKUP($A34,[7]Totals!$A34:$F85,6,FALSE)-SUM(ER34:EU34)</f>
        <v>39387084.759999916</v>
      </c>
      <c r="EZ34" s="52">
        <f t="shared" si="2"/>
        <v>20203.121167689427</v>
      </c>
      <c r="FA34" s="52">
        <f t="shared" si="3"/>
        <v>24406.158793913062</v>
      </c>
      <c r="FB34" s="52">
        <f t="shared" si="4"/>
        <v>22733.420382530716</v>
      </c>
      <c r="FC34" s="52">
        <f t="shared" si="5"/>
        <v>25628.284137787385</v>
      </c>
      <c r="FD34" s="37">
        <f>VLOOKUP($A34,[8]Totals!$A$2:$F$54,3)-SUM(EF34:EI34)</f>
        <v>30603959.02999996</v>
      </c>
      <c r="FE34" s="37">
        <f>VLOOKUP($A34,[8]Totals!$A$2:$F$54,4)-SUM(EJ34:EM34)</f>
        <v>37151075.460000083</v>
      </c>
      <c r="FF34" s="37">
        <f>VLOOKUP($A34,[8]Totals!$A$2:$F$54,5)-SUM(EN34:EQ34)</f>
        <v>34520750.300000012</v>
      </c>
      <c r="FG34" s="37">
        <f>VLOOKUP($A34,[8]Totals!$A$2:$F$54,6)-SUM(ER34:EU34)</f>
        <v>37953190.749999918</v>
      </c>
      <c r="FH34" s="52">
        <f t="shared" si="6"/>
        <v>19341.805779038947</v>
      </c>
      <c r="FI34" s="52">
        <f t="shared" si="7"/>
        <v>23351.797665516442</v>
      </c>
      <c r="FJ34" s="52">
        <f t="shared" si="8"/>
        <v>21986.758743240753</v>
      </c>
      <c r="FK34" s="52">
        <f t="shared" si="9"/>
        <v>24695.281775828586</v>
      </c>
      <c r="FL34" s="37">
        <f>VLOOKUP($A34,[9]Totals!$A$3:$F$54,3)-SUM(EF34:EI34)</f>
        <v>27169481.700000055</v>
      </c>
      <c r="FM34" s="37">
        <f>VLOOKUP($A34,[9]Totals!$A$3:$F$54,4)-SUM(EJ34:EM34)</f>
        <v>32115508.630000003</v>
      </c>
      <c r="FN34" s="37">
        <f>VLOOKUP($A34,[9]Totals!$A$3:$F$54,5)-SUM(EN34:EQ34)</f>
        <v>29387425.010000005</v>
      </c>
      <c r="FO34" s="37">
        <f>VLOOKUP($A34,[9]Totals!$A$3:$F$54,6)-SUM(ER34:EU34)</f>
        <v>31925578.73999998</v>
      </c>
      <c r="FP34" s="52">
        <f t="shared" si="10"/>
        <v>17171.204472056004</v>
      </c>
      <c r="FQ34" s="52">
        <f t="shared" si="11"/>
        <v>20186.625828917677</v>
      </c>
      <c r="FR34" s="52">
        <f t="shared" si="12"/>
        <v>18717.270573923459</v>
      </c>
      <c r="FS34" s="52">
        <f t="shared" si="13"/>
        <v>20773.251135431972</v>
      </c>
      <c r="FT34" s="37">
        <f>VLOOKUP($A34,[10]Calculations!$AF$3:$AJ$54,2,FALSE)-EI34</f>
        <v>6302998.1900000004</v>
      </c>
      <c r="FU34" s="37">
        <f>VLOOKUP($A34,[10]Calculations!$AF$3:$AJ$54,3,FALSE)-EM34</f>
        <v>6023332.7200000007</v>
      </c>
      <c r="FV34" s="37">
        <f>VLOOKUP($A34,[10]Calculations!$AF$3:$AJ$54,4,FALSE)-EQ34</f>
        <v>6157252.9900000012</v>
      </c>
      <c r="FW34" s="37">
        <f>VLOOKUP($A34,[10]Calculations!$AF$3:$AJ$54,5,FALSE)-EU34</f>
        <v>6004845.7377722785</v>
      </c>
      <c r="FX34" s="52">
        <f t="shared" si="14"/>
        <v>29180.547175925927</v>
      </c>
      <c r="FY34" s="52">
        <f t="shared" si="15"/>
        <v>28958.330384615387</v>
      </c>
      <c r="FZ34" s="52">
        <f t="shared" si="16"/>
        <v>30481.45044554456</v>
      </c>
      <c r="GA34" s="52">
        <f t="shared" si="17"/>
        <v>30481.45044554456</v>
      </c>
    </row>
    <row r="35" spans="1:183" ht="15.75" x14ac:dyDescent="0.25">
      <c r="A35" s="66" t="s">
        <v>293</v>
      </c>
      <c r="B35" s="66" t="s">
        <v>294</v>
      </c>
      <c r="C35" s="67">
        <v>3</v>
      </c>
      <c r="D35" s="68" t="s">
        <v>231</v>
      </c>
      <c r="E35">
        <v>5</v>
      </c>
      <c r="F35" s="27">
        <v>2189</v>
      </c>
      <c r="G35" s="27">
        <v>2139</v>
      </c>
      <c r="H35" s="27">
        <v>2152</v>
      </c>
      <c r="I35" s="27">
        <v>1959</v>
      </c>
      <c r="J35" s="23">
        <v>113</v>
      </c>
      <c r="K35" s="23">
        <v>129</v>
      </c>
      <c r="L35" s="23">
        <v>97</v>
      </c>
      <c r="M35" s="23">
        <v>101</v>
      </c>
      <c r="N35" s="27">
        <v>2066</v>
      </c>
      <c r="O35" s="27">
        <v>1998</v>
      </c>
      <c r="P35" s="27">
        <v>2046</v>
      </c>
      <c r="Q35" s="27">
        <v>1849</v>
      </c>
      <c r="R35" s="25">
        <f>VLOOKUP($A35,'ADM, LTADM'!$B:$L,2,FALSE)</f>
        <v>1840.3299999999997</v>
      </c>
      <c r="S35" s="25">
        <f>VLOOKUP($A35,'ADM, LTADM'!$B:$L,3,FALSE)</f>
        <v>1840.4599999999998</v>
      </c>
      <c r="T35" s="25">
        <f>VLOOKUP($A35,'ADM, LTADM'!$B:$L,4,FALSE)</f>
        <v>1819.5799999999988</v>
      </c>
      <c r="U35" s="25">
        <f>VLOOKUP($A35,'ADM, LTADM'!$B:$L,5,FALSE)</f>
        <v>1765.78</v>
      </c>
      <c r="V35" s="29">
        <f>VLOOKUP($A35,'ADM, LTADM'!$B:$L,7,FALSE)</f>
        <v>1902.32</v>
      </c>
      <c r="W35" s="29">
        <f>VLOOKUP($A35,'ADM, LTADM'!$B:$L,8,FALSE)</f>
        <v>1851.15</v>
      </c>
      <c r="X35" s="29">
        <f>VLOOKUP($A35,'ADM, LTADM'!$B:$L,9,FALSE)</f>
        <v>1838.8000000000002</v>
      </c>
      <c r="Y35" s="29">
        <f>VLOOKUP($A35,'ADM, LTADM'!$B:$L,10,FALSE)</f>
        <v>1798.1100000000001</v>
      </c>
      <c r="Z35" s="10">
        <v>2084.46</v>
      </c>
      <c r="AA35" s="10">
        <v>2019</v>
      </c>
      <c r="AB35" s="10">
        <v>1979.65</v>
      </c>
      <c r="AC35" s="10">
        <v>1958.25</v>
      </c>
      <c r="AD35" s="2">
        <v>0.53727506426735216</v>
      </c>
      <c r="AE35" s="2">
        <v>0.49921259842519683</v>
      </c>
      <c r="AF35" s="2">
        <v>0.45539906103286387</v>
      </c>
      <c r="AG35" s="2">
        <v>0.43722707423580787</v>
      </c>
      <c r="AH35" s="2">
        <f t="shared" si="0"/>
        <v>0.49729557457513768</v>
      </c>
      <c r="AI35" s="46">
        <f>VLOOKUP(A35,'[1]SU_SD IDEA 3-21'!$A:$B,2,FALSE)</f>
        <v>391</v>
      </c>
      <c r="AJ35" s="46">
        <f>VLOOKUP(A35,'[2]SU_SD IDEA 3-21'!$A:$B,2,FALSE)</f>
        <v>390</v>
      </c>
      <c r="AK35" s="46">
        <f>VLOOKUP(A35,'[3]SU_SD IDEA 3-21'!$A:$B,2,FALSE)</f>
        <v>383</v>
      </c>
      <c r="AL35" s="46">
        <f>VLOOKUP($A35,'[4]SU_SD IDEA 3-21'!$A:$B,2,FALSE)</f>
        <v>364</v>
      </c>
      <c r="AM35" s="22">
        <f t="shared" si="18"/>
        <v>0.21246189542092997</v>
      </c>
      <c r="AN35" s="22">
        <f t="shared" si="19"/>
        <v>0.2119035458526673</v>
      </c>
      <c r="AO35" s="22">
        <f t="shared" si="20"/>
        <v>0.21048813462447391</v>
      </c>
      <c r="AP35" s="22">
        <f t="shared" si="21"/>
        <v>0.2061411953924045</v>
      </c>
      <c r="AQ35" s="26">
        <v>9.2544987146529565E-3</v>
      </c>
      <c r="AR35" s="26">
        <v>1.1548556430446194E-2</v>
      </c>
      <c r="AS35" s="26">
        <v>1.0432968179447054E-2</v>
      </c>
      <c r="AT35" s="26">
        <v>8.7336244541484712E-3</v>
      </c>
      <c r="AU35" s="2">
        <v>0.43258426966292135</v>
      </c>
      <c r="AV35" s="2">
        <v>0.34399999999999997</v>
      </c>
      <c r="AW35" s="2">
        <v>0.53645833333333337</v>
      </c>
      <c r="AX35" s="2">
        <v>0.41820151679306611</v>
      </c>
      <c r="AY35" s="2">
        <v>0.37714285714285717</v>
      </c>
      <c r="AZ35" s="2">
        <v>0.22691292875989447</v>
      </c>
      <c r="BA35" s="2">
        <v>0.28061224489795916</v>
      </c>
      <c r="BB35" s="2">
        <v>0.29513513513513512</v>
      </c>
      <c r="BC35" s="2">
        <v>0.25757575757575757</v>
      </c>
      <c r="BD35" s="2" t="s">
        <v>222</v>
      </c>
      <c r="BE35" s="2" t="s">
        <v>222</v>
      </c>
      <c r="BF35" s="8">
        <v>0.26</v>
      </c>
      <c r="BG35" s="2">
        <v>0.19847328244274809</v>
      </c>
      <c r="BH35" s="2" t="s">
        <v>222</v>
      </c>
      <c r="BI35" s="2" t="s">
        <v>222</v>
      </c>
      <c r="BJ35" s="8">
        <v>0.2</v>
      </c>
      <c r="BK35" s="31">
        <f>VLOOKUP($A35,[5]FY20!$W:$AF,7,FALSE)</f>
        <v>9.3367052023121406</v>
      </c>
      <c r="BL35" s="31">
        <f>VLOOKUP($A35,[5]FY20!$W:$AF,8,FALSE)</f>
        <v>0.96339113680154131</v>
      </c>
      <c r="BM35" s="31">
        <f>VLOOKUP($A35,[5]FY20!$W:$AF,9,FALSE)</f>
        <v>2.5674373795761078</v>
      </c>
      <c r="BN35" s="31">
        <f>VLOOKUP($A35,[5]FY20!$W:$AF,10,FALSE)</f>
        <v>4.0606936416184976</v>
      </c>
      <c r="BO35" s="55">
        <f>VLOOKUP($A35,[5]FY21!$W:$AF,7,FALSE)</f>
        <v>7.2552238805970157</v>
      </c>
      <c r="BP35" s="55">
        <f>VLOOKUP($A35,[5]FY21!$W:$AF,8,FALSE)</f>
        <v>0.94526865671641791</v>
      </c>
      <c r="BQ35" s="55">
        <f>VLOOKUP($A35,[5]FY21!$W:$AF,9,FALSE)</f>
        <v>2.4311691542288556</v>
      </c>
      <c r="BR35" s="55">
        <f>VLOOKUP($A35,[5]FY21!$W:$AF,10,FALSE)</f>
        <v>4.1674975124378113</v>
      </c>
      <c r="BS35" s="31">
        <f>VLOOKUP($A35,[5]FY22!$W:$AF,7,FALSE)</f>
        <v>6.8043795620437955</v>
      </c>
      <c r="BT35" s="31">
        <f>VLOOKUP($A35,[5]FY22!$W:$AF,8,FALSE)</f>
        <v>0.97323600973236013</v>
      </c>
      <c r="BU35" s="31">
        <f>VLOOKUP($A35,[5]FY22!$W:$AF,9,FALSE)</f>
        <v>2.2734793187347933</v>
      </c>
      <c r="BV35" s="31">
        <f>VLOOKUP($A35,[5]FY22!$W:$AF,10,FALSE)</f>
        <v>4.0924574209245748</v>
      </c>
      <c r="BW35" s="55">
        <f>VLOOKUP($A35,[5]FY23!$W:$AF,7,FALSE)</f>
        <v>7.2029063509149616</v>
      </c>
      <c r="BX35" s="55">
        <f>VLOOKUP($A35,[5]FY23!$W:$AF,8,FALSE)</f>
        <v>1.0764262648008611</v>
      </c>
      <c r="BY35" s="55">
        <f>VLOOKUP($A35,[5]FY23!$W:$AF,9,FALSE)</f>
        <v>2.9908503767491927</v>
      </c>
      <c r="BZ35" s="55">
        <f>VLOOKUP($A35,[5]FY23!$W:$AF,10,FALSE)</f>
        <v>4.1092572658772868</v>
      </c>
      <c r="CA35" s="37">
        <f>VLOOKUP($A35,[5]FY20!$W:$AF,3,FALSE)</f>
        <v>63562.523861115405</v>
      </c>
      <c r="CB35" s="37">
        <f>VLOOKUP($A35,[5]FY20!$W:$AF,4,FALSE)</f>
        <v>110321.5</v>
      </c>
      <c r="CC35" s="37">
        <f>VLOOKUP($A35,[5]FY20!$W:$AF,5,FALSE)</f>
        <v>50471.642026266418</v>
      </c>
      <c r="CD35" s="37">
        <f>VLOOKUP($A35,[5]FY20!$W:$AF,6,FALSE)</f>
        <v>53562.372004744953</v>
      </c>
      <c r="CE35" s="52">
        <f>VLOOKUP($A35,[5]FY21!$W:$AF,3,FALSE)</f>
        <v>65683.165329493233</v>
      </c>
      <c r="CF35" s="52">
        <f>VLOOKUP($A35,[5]FY21!$W:$AF,4,FALSE)</f>
        <v>114545.12918489045</v>
      </c>
      <c r="CG35" s="52">
        <f>VLOOKUP($A35,[5]FY21!$W:$AF,5,FALSE)</f>
        <v>54652.778488330448</v>
      </c>
      <c r="CH35" s="52">
        <f>VLOOKUP($A35,[5]FY21!$W:$AF,6,FALSE)</f>
        <v>55226.575715648331</v>
      </c>
      <c r="CI35" s="37">
        <f>VLOOKUP($A35,[5]FY22!$W:$AF,3,FALSE)</f>
        <v>65680.841021240078</v>
      </c>
      <c r="CJ35" s="37">
        <f>VLOOKUP($A35,[5]FY22!$W:$AF,4,FALSE)</f>
        <v>112073.1</v>
      </c>
      <c r="CK35" s="37">
        <f>VLOOKUP($A35,[5]FY22!$W:$AF,5,FALSE)</f>
        <v>56056.528253424658</v>
      </c>
      <c r="CL35" s="37">
        <f>VLOOKUP($A35,[5]FY22!$W:$AF,6,FALSE)</f>
        <v>55623.769322235428</v>
      </c>
      <c r="CM35" s="52">
        <f>VLOOKUP($A35,[5]FY23!$W:$AF,3,FALSE)</f>
        <v>67689.180303369954</v>
      </c>
      <c r="CN35" s="52">
        <f>VLOOKUP($A35,[5]FY23!$W:$AF,4,FALSE)</f>
        <v>116318.15</v>
      </c>
      <c r="CO35" s="52">
        <f>VLOOKUP($A35,[5]FY23!$W:$AF,5,FALSE)</f>
        <v>61843.080798992261</v>
      </c>
      <c r="CP35" s="52">
        <f>VLOOKUP($A35,[5]FY23!$W:$AF,6,FALSE)</f>
        <v>56688.356254093</v>
      </c>
      <c r="CQ35" s="5">
        <v>0.85499999999999998</v>
      </c>
      <c r="CR35" s="4">
        <v>0.89500000000000002</v>
      </c>
      <c r="CS35" s="4">
        <v>0.86099999999999999</v>
      </c>
      <c r="CT35" s="4">
        <v>0.94099999999999995</v>
      </c>
      <c r="CU35" s="4">
        <v>0.79400000000000004</v>
      </c>
      <c r="CV35" s="4">
        <v>0.89200000000000002</v>
      </c>
      <c r="CW35" s="4">
        <v>0.84299999999999997</v>
      </c>
      <c r="CX35" s="4">
        <v>0.88</v>
      </c>
      <c r="CY35" t="s">
        <v>223</v>
      </c>
      <c r="CZ35" t="s">
        <v>223</v>
      </c>
      <c r="DA35" t="s">
        <v>257</v>
      </c>
      <c r="DB35">
        <v>0</v>
      </c>
      <c r="DC35">
        <v>0</v>
      </c>
      <c r="DD35">
        <v>3</v>
      </c>
      <c r="DE35">
        <v>0</v>
      </c>
      <c r="DF35">
        <v>0</v>
      </c>
      <c r="DG35">
        <v>0</v>
      </c>
      <c r="DH35">
        <v>0</v>
      </c>
      <c r="DI35">
        <v>3</v>
      </c>
      <c r="DJ35">
        <v>0</v>
      </c>
      <c r="DK35">
        <v>0</v>
      </c>
      <c r="DL35">
        <v>0</v>
      </c>
      <c r="DM35">
        <v>1</v>
      </c>
      <c r="DN35">
        <v>0</v>
      </c>
      <c r="DO35">
        <v>2</v>
      </c>
      <c r="DP35">
        <v>0</v>
      </c>
      <c r="DQ35" s="5">
        <v>0</v>
      </c>
      <c r="DR35" s="5">
        <v>0</v>
      </c>
      <c r="DS35" s="5">
        <v>1</v>
      </c>
      <c r="DT35" s="5">
        <v>0</v>
      </c>
      <c r="DU35" s="5">
        <v>0</v>
      </c>
      <c r="DV35" s="5">
        <v>0</v>
      </c>
      <c r="DW35" s="5">
        <v>0</v>
      </c>
      <c r="DX35" s="5">
        <v>1</v>
      </c>
      <c r="DY35" s="5">
        <v>0</v>
      </c>
      <c r="DZ35" s="5">
        <v>0</v>
      </c>
      <c r="EA35" s="5">
        <v>0</v>
      </c>
      <c r="EB35" s="5">
        <v>0.33300000000000002</v>
      </c>
      <c r="EC35" s="5">
        <v>0</v>
      </c>
      <c r="ED35" s="5">
        <v>0.66700000000000004</v>
      </c>
      <c r="EE35" s="5">
        <v>0</v>
      </c>
      <c r="EF35" s="36">
        <f>VLOOKUP($A35,'[6]Updated (2)'!$A$2:$Q$54,2,FALSE)</f>
        <v>0</v>
      </c>
      <c r="EG35" s="36">
        <f>VLOOKUP($A35,'[6]Updated (2)'!$A$2:$Q$54,3,FALSE)</f>
        <v>0</v>
      </c>
      <c r="EH35" s="36">
        <f>VLOOKUP($A35,'[6]Updated (2)'!$A$2:$Q$54,4,FALSE)</f>
        <v>0</v>
      </c>
      <c r="EI35" s="36">
        <f>VLOOKUP($A35,'[6]Updated (2)'!$A$2:$Q$54,5,FALSE)</f>
        <v>0</v>
      </c>
      <c r="EJ35" s="48">
        <f>VLOOKUP($A35,'[6]Updated (2)'!$A$2:$Q$54,6,FALSE)</f>
        <v>0</v>
      </c>
      <c r="EK35" s="48">
        <f>VLOOKUP($A35,'[6]Updated (2)'!$A$2:$Q$54,7,FALSE)</f>
        <v>0</v>
      </c>
      <c r="EL35" s="48">
        <f>VLOOKUP($A35,'[6]Updated (2)'!$A$2:$Q$54,8,FALSE)</f>
        <v>0</v>
      </c>
      <c r="EM35" s="48">
        <f>VLOOKUP($A35,'[6]Updated (2)'!$A$2:$Q$54,9,FALSE)</f>
        <v>0</v>
      </c>
      <c r="EN35" s="36">
        <f>VLOOKUP($A35,'[6]Updated (2)'!$A$2:$Q$54,10,FALSE)</f>
        <v>0</v>
      </c>
      <c r="EO35" s="36">
        <f>VLOOKUP($A35,'[6]Updated (2)'!$A$2:$Q$54,11,FALSE)</f>
        <v>0</v>
      </c>
      <c r="EP35" s="36">
        <f>VLOOKUP($A35,'[6]Updated (2)'!$A$2:$Q$54,12,FALSE)</f>
        <v>0</v>
      </c>
      <c r="EQ35" s="36">
        <f>VLOOKUP($A35,'[6]Updated (2)'!$A$2:$Q$54,13,FALSE)</f>
        <v>0</v>
      </c>
      <c r="ER35" s="48">
        <f>VLOOKUP($A35,'[6]Updated (2)'!$A$2:$Q$54,14,FALSE)</f>
        <v>0</v>
      </c>
      <c r="ES35" s="48">
        <f>VLOOKUP($A35,'[6]Updated (2)'!$A$2:$Q$54,15,FALSE)</f>
        <v>0</v>
      </c>
      <c r="ET35" s="48">
        <f>VLOOKUP($A35,'[6]Updated (2)'!$A$2:$Q$54,16,FALSE)</f>
        <v>0</v>
      </c>
      <c r="EU35" s="48">
        <f>VLOOKUP($A35,'[6]Updated (2)'!$A$2:$Q$54,17,FALSE)</f>
        <v>0</v>
      </c>
      <c r="EV35" s="37">
        <f>VLOOKUP($A35,[7]Totals!$A35:$F86,3,FALSE)-SUM(EF35:EI35)</f>
        <v>47167833.670000084</v>
      </c>
      <c r="EW35" s="37">
        <f>VLOOKUP($A35,[7]Totals!$A35:$F86,4,FALSE)-SUM(EJ35:EM35)</f>
        <v>47686010.489400022</v>
      </c>
      <c r="EX35" s="37">
        <f>VLOOKUP($A35,[7]Totals!$A35:$F86,5,FALSE)-SUM(EN35:EQ35)</f>
        <v>49264870.579999916</v>
      </c>
      <c r="EY35" s="37">
        <f>VLOOKUP($A35,[7]Totals!$A35:$F86,6,FALSE)-SUM(ER35:EU35)</f>
        <v>53965903.810000047</v>
      </c>
      <c r="EZ35" s="52">
        <f t="shared" ref="EZ35:EZ53" si="22">EV35/V35</f>
        <v>24794.899738214437</v>
      </c>
      <c r="FA35" s="52">
        <f t="shared" ref="FA35:FA53" si="23">EW35/W35</f>
        <v>25760.20878340492</v>
      </c>
      <c r="FB35" s="52">
        <f t="shared" ref="FB35:FB53" si="24">EX35/X35</f>
        <v>26791.85913639325</v>
      </c>
      <c r="FC35" s="52">
        <f t="shared" ref="FC35:FC53" si="25">EY35/Y35</f>
        <v>30012.570871637465</v>
      </c>
      <c r="FD35" s="37">
        <f>VLOOKUP($A35,[8]Totals!$A$2:$F$54,3)-SUM(EF35:EI35)</f>
        <v>46027455.380000085</v>
      </c>
      <c r="FE35" s="37">
        <f>VLOOKUP($A35,[8]Totals!$A$2:$F$54,4)-SUM(EJ35:EM35)</f>
        <v>47686010.489400007</v>
      </c>
      <c r="FF35" s="37">
        <f>VLOOKUP($A35,[8]Totals!$A$2:$F$54,5)-SUM(EN35:EQ35)</f>
        <v>49264870.579999916</v>
      </c>
      <c r="FG35" s="37">
        <f>VLOOKUP($A35,[8]Totals!$A$2:$F$54,6)-SUM(ER35:EU35)</f>
        <v>53965903.810000047</v>
      </c>
      <c r="FH35" s="52">
        <f t="shared" ref="FH35:FH53" si="26">FD35/V35</f>
        <v>24195.432619117753</v>
      </c>
      <c r="FI35" s="52">
        <f t="shared" ref="FI35:FI53" si="27">FE35/W35</f>
        <v>25760.208783404913</v>
      </c>
      <c r="FJ35" s="52">
        <f t="shared" ref="FJ35:FJ53" si="28">FF35/X35</f>
        <v>26791.85913639325</v>
      </c>
      <c r="FK35" s="52">
        <f t="shared" ref="FK35:FK53" si="29">FG35/Y35</f>
        <v>30012.570871637465</v>
      </c>
      <c r="FL35" s="37">
        <f>VLOOKUP($A35,[9]Totals!$A$3:$F$54,3)-SUM(EF35:EI35)</f>
        <v>40324651.280000024</v>
      </c>
      <c r="FM35" s="37">
        <f>VLOOKUP($A35,[9]Totals!$A$3:$F$54,4)-SUM(EJ35:EM35)</f>
        <v>39550772.060000032</v>
      </c>
      <c r="FN35" s="37">
        <f>VLOOKUP($A35,[9]Totals!$A$3:$F$54,5)-SUM(EN35:EQ35)</f>
        <v>41009621.629999965</v>
      </c>
      <c r="FO35" s="37">
        <f>VLOOKUP($A35,[9]Totals!$A$3:$F$54,6)-SUM(ER35:EU35)</f>
        <v>42627919.530000016</v>
      </c>
      <c r="FP35" s="52">
        <f t="shared" ref="FP35:FP53" si="30">FL35/V35</f>
        <v>21197.61726733674</v>
      </c>
      <c r="FQ35" s="52">
        <f t="shared" ref="FQ35:FQ53" si="31">FM35/W35</f>
        <v>21365.514442373675</v>
      </c>
      <c r="FR35" s="52">
        <f t="shared" ref="FR35:FR53" si="32">FN35/X35</f>
        <v>22302.38287470087</v>
      </c>
      <c r="FS35" s="52">
        <f t="shared" ref="FS35:FS53" si="33">FO35/Y35</f>
        <v>23707.069940103782</v>
      </c>
      <c r="FT35" s="37">
        <f>VLOOKUP($A35,[10]Calculations!$AF$3:$AJ$54,2,FALSE)-EI35</f>
        <v>10937636.760000002</v>
      </c>
      <c r="FU35" s="37">
        <f>VLOOKUP($A35,[10]Calculations!$AF$3:$AJ$54,3,FALSE)-EM35</f>
        <v>11085389.360000007</v>
      </c>
      <c r="FV35" s="37">
        <f>VLOOKUP($A35,[10]Calculations!$AF$3:$AJ$54,4,FALSE)-EQ35</f>
        <v>11175058.459999999</v>
      </c>
      <c r="FW35" s="37">
        <f>VLOOKUP($A35,[10]Calculations!$AF$3:$AJ$54,5,FALSE)-EU35</f>
        <v>10620682.191749347</v>
      </c>
      <c r="FX35" s="52">
        <f t="shared" ref="FX35:FX53" si="34">FT35/AI35</f>
        <v>27973.495549872128</v>
      </c>
      <c r="FY35" s="52">
        <f t="shared" ref="FY35:FY53" si="35">FU35/AJ35</f>
        <v>28424.075282051301</v>
      </c>
      <c r="FZ35" s="52">
        <f t="shared" ref="FZ35:FZ53" si="36">FV35/AK35</f>
        <v>29177.698328981722</v>
      </c>
      <c r="GA35" s="52">
        <f t="shared" ref="GA35:GA53" si="37">FW35/AL35</f>
        <v>29177.698328981725</v>
      </c>
    </row>
    <row r="36" spans="1:183" ht="15.75" x14ac:dyDescent="0.25">
      <c r="A36" s="66" t="s">
        <v>295</v>
      </c>
      <c r="B36" s="66" t="s">
        <v>296</v>
      </c>
      <c r="C36" s="67">
        <v>3</v>
      </c>
      <c r="D36" s="68" t="s">
        <v>272</v>
      </c>
      <c r="E36">
        <v>7</v>
      </c>
      <c r="F36" s="27">
        <v>1893</v>
      </c>
      <c r="G36" s="27">
        <v>1869</v>
      </c>
      <c r="H36" s="27">
        <v>1823</v>
      </c>
      <c r="I36" s="27">
        <v>1830</v>
      </c>
      <c r="J36" s="23">
        <v>216</v>
      </c>
      <c r="K36" s="23">
        <v>209</v>
      </c>
      <c r="L36" s="23">
        <v>212</v>
      </c>
      <c r="M36" s="23">
        <v>218</v>
      </c>
      <c r="N36" s="27">
        <v>1677</v>
      </c>
      <c r="O36" s="27">
        <v>1660</v>
      </c>
      <c r="P36" s="27">
        <v>1611</v>
      </c>
      <c r="Q36" s="27">
        <v>1612</v>
      </c>
      <c r="R36" s="25">
        <f>VLOOKUP($A36,'ADM, LTADM'!$B:$L,2,FALSE)</f>
        <v>1821</v>
      </c>
      <c r="S36" s="25">
        <f>VLOOKUP($A36,'ADM, LTADM'!$B:$L,3,FALSE)</f>
        <v>1810.2600000000002</v>
      </c>
      <c r="T36" s="25">
        <f>VLOOKUP($A36,'ADM, LTADM'!$B:$L,4,FALSE)</f>
        <v>1795.1399999999999</v>
      </c>
      <c r="U36" s="25">
        <f>VLOOKUP($A36,'ADM, LTADM'!$B:$L,5,FALSE)</f>
        <v>1780.58</v>
      </c>
      <c r="V36" s="29">
        <f>VLOOKUP($A36,'ADM, LTADM'!$B:$L,7,FALSE)</f>
        <v>1834.92</v>
      </c>
      <c r="W36" s="29">
        <f>VLOOKUP($A36,'ADM, LTADM'!$B:$L,8,FALSE)</f>
        <v>1819.49</v>
      </c>
      <c r="X36" s="29">
        <f>VLOOKUP($A36,'ADM, LTADM'!$B:$L,9,FALSE)</f>
        <v>1805.77</v>
      </c>
      <c r="Y36" s="29">
        <f>VLOOKUP($A36,'ADM, LTADM'!$B:$L,10,FALSE)</f>
        <v>1792.6599999999999</v>
      </c>
      <c r="Z36" s="10">
        <v>1808.42</v>
      </c>
      <c r="AA36" s="10">
        <v>1758.8</v>
      </c>
      <c r="AB36" s="10">
        <v>1746.48</v>
      </c>
      <c r="AC36" s="10">
        <v>1734.2</v>
      </c>
      <c r="AD36" s="2">
        <v>0.22169531713100177</v>
      </c>
      <c r="AE36" s="2">
        <v>9.5090118085767561E-2</v>
      </c>
      <c r="AF36" s="2">
        <v>0.16027655562539284</v>
      </c>
      <c r="AG36" s="2">
        <v>0.21052631578947367</v>
      </c>
      <c r="AH36" s="2">
        <f t="shared" si="0"/>
        <v>0.15902066361405406</v>
      </c>
      <c r="AI36" s="46">
        <f>VLOOKUP(A36,'[1]SU_SD IDEA 3-21'!$A:$B,2,FALSE)</f>
        <v>282</v>
      </c>
      <c r="AJ36" s="46">
        <f>VLOOKUP(A36,'[2]SU_SD IDEA 3-21'!$A:$B,2,FALSE)</f>
        <v>267</v>
      </c>
      <c r="AK36" s="46">
        <f>VLOOKUP(A36,'[3]SU_SD IDEA 3-21'!$A:$B,2,FALSE)</f>
        <v>269</v>
      </c>
      <c r="AL36" s="46">
        <f>VLOOKUP($A36,'[4]SU_SD IDEA 3-21'!$A:$B,2,FALSE)</f>
        <v>287</v>
      </c>
      <c r="AM36" s="22">
        <f t="shared" si="18"/>
        <v>0.15485996705107083</v>
      </c>
      <c r="AN36" s="22">
        <f t="shared" si="19"/>
        <v>0.14749262536873153</v>
      </c>
      <c r="AO36" s="22">
        <f t="shared" si="20"/>
        <v>0.14984903684392303</v>
      </c>
      <c r="AP36" s="22">
        <f t="shared" si="21"/>
        <v>0.16118343461119411</v>
      </c>
      <c r="AQ36" s="26" t="s">
        <v>222</v>
      </c>
      <c r="AR36" s="26" t="s">
        <v>222</v>
      </c>
      <c r="AS36" s="26" t="s">
        <v>222</v>
      </c>
      <c r="AT36" s="26">
        <v>8.6687306501547993E-3</v>
      </c>
      <c r="AU36" s="2">
        <v>0.61780104712041883</v>
      </c>
      <c r="AV36" s="2">
        <v>0.60635696821515894</v>
      </c>
      <c r="AW36" s="2">
        <v>0.64885496183206104</v>
      </c>
      <c r="AX36" s="2">
        <v>0.61713665943600871</v>
      </c>
      <c r="AY36" s="2">
        <v>0.64566929133858264</v>
      </c>
      <c r="AZ36" s="2">
        <v>0.41031941031941033</v>
      </c>
      <c r="BA36" s="2">
        <v>0.33587786259541985</v>
      </c>
      <c r="BB36" s="2">
        <v>0.49727965179542982</v>
      </c>
      <c r="BC36" s="2">
        <v>0.62595419847328249</v>
      </c>
      <c r="BD36" s="2" t="s">
        <v>222</v>
      </c>
      <c r="BE36" s="2" t="s">
        <v>222</v>
      </c>
      <c r="BF36" s="8">
        <v>0.63</v>
      </c>
      <c r="BG36" s="2">
        <v>0.51515151515151514</v>
      </c>
      <c r="BH36" s="2" t="s">
        <v>222</v>
      </c>
      <c r="BI36" s="2" t="s">
        <v>222</v>
      </c>
      <c r="BJ36" s="8">
        <v>0.52</v>
      </c>
      <c r="BK36" s="31">
        <f>VLOOKUP($A36,[5]FY20!$W:$AF,7,FALSE)</f>
        <v>9.7388193202146702</v>
      </c>
      <c r="BL36" s="31">
        <f>VLOOKUP($A36,[5]FY20!$W:$AF,8,FALSE)</f>
        <v>1.4609421586165774</v>
      </c>
      <c r="BM36" s="31">
        <f>VLOOKUP($A36,[5]FY20!$W:$AF,9,FALSE)</f>
        <v>2.3196183661299945</v>
      </c>
      <c r="BN36" s="31">
        <f>VLOOKUP($A36,[5]FY20!$W:$AF,10,FALSE)</f>
        <v>4.5372689326177706</v>
      </c>
      <c r="BO36" s="55">
        <f>VLOOKUP($A36,[5]FY21!$W:$AF,7,FALSE)</f>
        <v>9.9542168674698797</v>
      </c>
      <c r="BP36" s="55">
        <f>VLOOKUP($A36,[5]FY21!$W:$AF,8,FALSE)</f>
        <v>2.1987951807228914</v>
      </c>
      <c r="BQ36" s="55">
        <f>VLOOKUP($A36,[5]FY21!$W:$AF,9,FALSE)</f>
        <v>2.4765060240963854</v>
      </c>
      <c r="BR36" s="55">
        <f>VLOOKUP($A36,[5]FY21!$W:$AF,10,FALSE)</f>
        <v>4.1855421686746981</v>
      </c>
      <c r="BS36" s="31">
        <f>VLOOKUP($A36,[5]FY22!$W:$AF,7,FALSE)</f>
        <v>9.8224705152079448</v>
      </c>
      <c r="BT36" s="31">
        <f>VLOOKUP($A36,[5]FY22!$W:$AF,8,FALSE)</f>
        <v>2.1725636250775917</v>
      </c>
      <c r="BU36" s="31">
        <f>VLOOKUP($A36,[5]FY22!$W:$AF,9,FALSE)</f>
        <v>2.6877715704531351</v>
      </c>
      <c r="BV36" s="31">
        <f>VLOOKUP($A36,[5]FY22!$W:$AF,10,FALSE)</f>
        <v>4.8019863438857842</v>
      </c>
      <c r="BW36" s="55">
        <f>VLOOKUP($A36,[5]FY23!$W:$AF,7,FALSE)</f>
        <v>9.7822580645161299</v>
      </c>
      <c r="BX36" s="55">
        <f>VLOOKUP($A36,[5]FY23!$W:$AF,8,FALSE)</f>
        <v>2.2009925558312657</v>
      </c>
      <c r="BY36" s="55">
        <f>VLOOKUP($A36,[5]FY23!$W:$AF,9,FALSE)</f>
        <v>3.0955334987593055</v>
      </c>
      <c r="BZ36" s="55">
        <f>VLOOKUP($A36,[5]FY23!$W:$AF,10,FALSE)</f>
        <v>5.3883374689826287</v>
      </c>
      <c r="CA36" s="37">
        <f>VLOOKUP($A36,[5]FY20!$W:$AF,3,FALSE)</f>
        <v>66047.005143276983</v>
      </c>
      <c r="CB36" s="37">
        <f>VLOOKUP($A36,[5]FY20!$W:$AF,4,FALSE)</f>
        <v>83295.591836734689</v>
      </c>
      <c r="CC36" s="37">
        <f>VLOOKUP($A36,[5]FY20!$W:$AF,5,FALSE)</f>
        <v>60860.242930591245</v>
      </c>
      <c r="CD36" s="37">
        <f>VLOOKUP($A36,[5]FY20!$W:$AF,6,FALSE)</f>
        <v>46909.315678801402</v>
      </c>
      <c r="CE36" s="52">
        <f>VLOOKUP($A36,[5]FY21!$W:$AF,3,FALSE)</f>
        <v>67463.243706124413</v>
      </c>
      <c r="CF36" s="52">
        <f>VLOOKUP($A36,[5]FY21!$W:$AF,4,FALSE)</f>
        <v>52707.013698630137</v>
      </c>
      <c r="CG36" s="52">
        <f>VLOOKUP($A36,[5]FY21!$W:$AF,5,FALSE)</f>
        <v>57516.039163220645</v>
      </c>
      <c r="CH36" s="52">
        <f>VLOOKUP($A36,[5]FY21!$W:$AF,6,FALSE)</f>
        <v>47109.403569372487</v>
      </c>
      <c r="CI36" s="37">
        <f>VLOOKUP($A36,[5]FY22!$W:$AF,3,FALSE)</f>
        <v>68044.084175935277</v>
      </c>
      <c r="CJ36" s="37">
        <f>VLOOKUP($A36,[5]FY22!$W:$AF,4,FALSE)</f>
        <v>56776.185714285712</v>
      </c>
      <c r="CK36" s="37">
        <f>VLOOKUP($A36,[5]FY22!$W:$AF,5,FALSE)</f>
        <v>58899.85381062355</v>
      </c>
      <c r="CL36" s="37">
        <f>VLOOKUP($A36,[5]FY22!$W:$AF,6,FALSE)</f>
        <v>48826.814072776629</v>
      </c>
      <c r="CM36" s="52">
        <f>VLOOKUP($A36,[5]FY23!$W:$AF,3,FALSE)</f>
        <v>67959.92237935189</v>
      </c>
      <c r="CN36" s="52">
        <f>VLOOKUP($A36,[5]FY23!$W:$AF,4,FALSE)</f>
        <v>59201.82046223223</v>
      </c>
      <c r="CO36" s="52">
        <f>VLOOKUP($A36,[5]FY23!$W:$AF,5,FALSE)</f>
        <v>60578.179959919828</v>
      </c>
      <c r="CP36" s="52">
        <f>VLOOKUP($A36,[5]FY23!$W:$AF,6,FALSE)</f>
        <v>55752.153465346542</v>
      </c>
      <c r="CQ36" s="5">
        <v>0.94699999999999995</v>
      </c>
      <c r="CR36" s="4">
        <v>0.96</v>
      </c>
      <c r="CS36" s="4">
        <v>0.92200000000000004</v>
      </c>
      <c r="CT36" s="4">
        <v>0.93400000000000005</v>
      </c>
      <c r="CU36" s="4">
        <v>0.84199999999999997</v>
      </c>
      <c r="CV36" s="4">
        <v>0.96399999999999997</v>
      </c>
      <c r="CW36" s="4">
        <v>0.89400000000000002</v>
      </c>
      <c r="CX36" s="4">
        <v>0.92900000000000005</v>
      </c>
      <c r="CY36" t="s">
        <v>228</v>
      </c>
      <c r="CZ36" t="s">
        <v>228</v>
      </c>
      <c r="DA36" t="s">
        <v>228</v>
      </c>
      <c r="DB36">
        <v>0</v>
      </c>
      <c r="DC36">
        <v>6</v>
      </c>
      <c r="DD36">
        <v>1</v>
      </c>
      <c r="DE36">
        <v>0</v>
      </c>
      <c r="DF36">
        <v>0</v>
      </c>
      <c r="DG36">
        <v>0</v>
      </c>
      <c r="DH36">
        <v>5</v>
      </c>
      <c r="DI36">
        <v>2</v>
      </c>
      <c r="DJ36">
        <v>0</v>
      </c>
      <c r="DK36">
        <v>0</v>
      </c>
      <c r="DL36">
        <v>3</v>
      </c>
      <c r="DM36">
        <v>3</v>
      </c>
      <c r="DN36">
        <v>0</v>
      </c>
      <c r="DO36">
        <v>0</v>
      </c>
      <c r="DP36">
        <v>0</v>
      </c>
      <c r="DQ36" s="5">
        <v>0</v>
      </c>
      <c r="DR36" s="5">
        <v>0.85699999999999998</v>
      </c>
      <c r="DS36" s="5">
        <v>0.14299999999999999</v>
      </c>
      <c r="DT36" s="5">
        <v>0</v>
      </c>
      <c r="DU36" s="5">
        <v>0</v>
      </c>
      <c r="DV36" s="5">
        <v>0</v>
      </c>
      <c r="DW36" s="5">
        <v>0.71399999999999997</v>
      </c>
      <c r="DX36" s="5">
        <v>0.28599999999999998</v>
      </c>
      <c r="DY36" s="5">
        <v>0</v>
      </c>
      <c r="DZ36" s="5">
        <v>0</v>
      </c>
      <c r="EA36" s="5">
        <v>0.42899999999999999</v>
      </c>
      <c r="EB36" s="5">
        <v>0.42899999999999999</v>
      </c>
      <c r="EC36" s="5">
        <v>0</v>
      </c>
      <c r="ED36" s="5">
        <v>0</v>
      </c>
      <c r="EE36" s="5">
        <v>0</v>
      </c>
      <c r="EF36" s="36">
        <f>VLOOKUP($A36,'[6]Updated (2)'!$A$2:$Q$54,2,FALSE)</f>
        <v>0</v>
      </c>
      <c r="EG36" s="36">
        <f>VLOOKUP($A36,'[6]Updated (2)'!$A$2:$Q$54,3,FALSE)</f>
        <v>0</v>
      </c>
      <c r="EH36" s="36">
        <f>VLOOKUP($A36,'[6]Updated (2)'!$A$2:$Q$54,4,FALSE)</f>
        <v>0</v>
      </c>
      <c r="EI36" s="36">
        <f>VLOOKUP($A36,'[6]Updated (2)'!$A$2:$Q$54,5,FALSE)</f>
        <v>0</v>
      </c>
      <c r="EJ36" s="48">
        <f>VLOOKUP($A36,'[6]Updated (2)'!$A$2:$Q$54,6,FALSE)</f>
        <v>0</v>
      </c>
      <c r="EK36" s="48">
        <f>VLOOKUP($A36,'[6]Updated (2)'!$A$2:$Q$54,7,FALSE)</f>
        <v>0</v>
      </c>
      <c r="EL36" s="48">
        <f>VLOOKUP($A36,'[6]Updated (2)'!$A$2:$Q$54,8,FALSE)</f>
        <v>0</v>
      </c>
      <c r="EM36" s="48">
        <f>VLOOKUP($A36,'[6]Updated (2)'!$A$2:$Q$54,9,FALSE)</f>
        <v>0</v>
      </c>
      <c r="EN36" s="36">
        <f>VLOOKUP($A36,'[6]Updated (2)'!$A$2:$Q$54,10,FALSE)</f>
        <v>0</v>
      </c>
      <c r="EO36" s="36">
        <f>VLOOKUP($A36,'[6]Updated (2)'!$A$2:$Q$54,11,FALSE)</f>
        <v>0</v>
      </c>
      <c r="EP36" s="36">
        <f>VLOOKUP($A36,'[6]Updated (2)'!$A$2:$Q$54,12,FALSE)</f>
        <v>0</v>
      </c>
      <c r="EQ36" s="36">
        <f>VLOOKUP($A36,'[6]Updated (2)'!$A$2:$Q$54,13,FALSE)</f>
        <v>0</v>
      </c>
      <c r="ER36" s="48">
        <f>VLOOKUP($A36,'[6]Updated (2)'!$A$2:$Q$54,14,FALSE)</f>
        <v>0</v>
      </c>
      <c r="ES36" s="48">
        <f>VLOOKUP($A36,'[6]Updated (2)'!$A$2:$Q$54,15,FALSE)</f>
        <v>0</v>
      </c>
      <c r="ET36" s="48">
        <f>VLOOKUP($A36,'[6]Updated (2)'!$A$2:$Q$54,16,FALSE)</f>
        <v>0</v>
      </c>
      <c r="EU36" s="48">
        <f>VLOOKUP($A36,'[6]Updated (2)'!$A$2:$Q$54,17,FALSE)</f>
        <v>0</v>
      </c>
      <c r="EV36" s="37">
        <f>VLOOKUP($A36,[7]Totals!$A36:$F87,3,FALSE)-SUM(EF36:EI36)</f>
        <v>40392655.709999956</v>
      </c>
      <c r="EW36" s="37">
        <f>VLOOKUP($A36,[7]Totals!$A36:$F87,4,FALSE)-SUM(EJ36:EM36)</f>
        <v>42898504.910000004</v>
      </c>
      <c r="EX36" s="37">
        <f>VLOOKUP($A36,[7]Totals!$A36:$F87,5,FALSE)-SUM(EN36:EQ36)</f>
        <v>44867097.820000149</v>
      </c>
      <c r="EY36" s="37">
        <f>VLOOKUP($A36,[7]Totals!$A36:$F87,6,FALSE)-SUM(ER36:EU36)</f>
        <v>49032527.889999926</v>
      </c>
      <c r="EZ36" s="52">
        <f t="shared" si="22"/>
        <v>22013.306144137048</v>
      </c>
      <c r="FA36" s="52">
        <f t="shared" si="23"/>
        <v>23577.213895102475</v>
      </c>
      <c r="FB36" s="52">
        <f t="shared" si="24"/>
        <v>24846.518559949578</v>
      </c>
      <c r="FC36" s="52">
        <f t="shared" si="25"/>
        <v>27351.827948411817</v>
      </c>
      <c r="FD36" s="37">
        <f>VLOOKUP($A36,[8]Totals!$A$2:$F$54,3)-SUM(EF36:EI36)</f>
        <v>39171871.379999958</v>
      </c>
      <c r="FE36" s="37">
        <f>VLOOKUP($A36,[8]Totals!$A$2:$F$54,4)-SUM(EJ36:EM36)</f>
        <v>42153723.12000002</v>
      </c>
      <c r="FF36" s="37">
        <f>VLOOKUP($A36,[8]Totals!$A$2:$F$54,5)-SUM(EN36:EQ36)</f>
        <v>44164032.650000162</v>
      </c>
      <c r="FG36" s="37">
        <f>VLOOKUP($A36,[8]Totals!$A$2:$F$54,6)-SUM(ER36:EU36)</f>
        <v>47418809.549999915</v>
      </c>
      <c r="FH36" s="52">
        <f t="shared" si="26"/>
        <v>21347.999574913323</v>
      </c>
      <c r="FI36" s="52">
        <f t="shared" si="27"/>
        <v>23167.878427471445</v>
      </c>
      <c r="FJ36" s="52">
        <f t="shared" si="28"/>
        <v>24457.174861693438</v>
      </c>
      <c r="FK36" s="52">
        <f t="shared" si="29"/>
        <v>26451.647021744178</v>
      </c>
      <c r="FL36" s="37">
        <f>VLOOKUP($A36,[9]Totals!$A$3:$F$54,3)-SUM(EF36:EI36)</f>
        <v>35485200.209999964</v>
      </c>
      <c r="FM36" s="37">
        <f>VLOOKUP($A36,[9]Totals!$A$3:$F$54,4)-SUM(EJ36:EM36)</f>
        <v>38080717.729999997</v>
      </c>
      <c r="FN36" s="37">
        <f>VLOOKUP($A36,[9]Totals!$A$3:$F$54,5)-SUM(EN36:EQ36)</f>
        <v>38952284.990000032</v>
      </c>
      <c r="FO36" s="37">
        <f>VLOOKUP($A36,[9]Totals!$A$3:$F$54,6)-SUM(ER36:EU36)</f>
        <v>42213532.320000008</v>
      </c>
      <c r="FP36" s="52">
        <f t="shared" si="30"/>
        <v>19338.826875286097</v>
      </c>
      <c r="FQ36" s="52">
        <f t="shared" si="31"/>
        <v>20929.336094180235</v>
      </c>
      <c r="FR36" s="52">
        <f t="shared" si="32"/>
        <v>21571.011252817374</v>
      </c>
      <c r="FS36" s="52">
        <f t="shared" si="33"/>
        <v>23547.985853424525</v>
      </c>
      <c r="FT36" s="37">
        <f>VLOOKUP($A36,[10]Calculations!$AF$3:$AJ$54,2,FALSE)-EI36</f>
        <v>8094133.549999997</v>
      </c>
      <c r="FU36" s="37">
        <f>VLOOKUP($A36,[10]Calculations!$AF$3:$AJ$54,3,FALSE)-EM36</f>
        <v>8499386.0399999972</v>
      </c>
      <c r="FV36" s="37">
        <f>VLOOKUP($A36,[10]Calculations!$AF$3:$AJ$54,4,FALSE)-EQ36</f>
        <v>9129365.0400000047</v>
      </c>
      <c r="FW36" s="37">
        <f>VLOOKUP($A36,[10]Calculations!$AF$3:$AJ$54,5,FALSE)-EU36</f>
        <v>9740251.9200000055</v>
      </c>
      <c r="FX36" s="52">
        <f t="shared" si="34"/>
        <v>28702.60124113474</v>
      </c>
      <c r="FY36" s="52">
        <f t="shared" si="35"/>
        <v>31832.906516853924</v>
      </c>
      <c r="FZ36" s="52">
        <f t="shared" si="36"/>
        <v>33938.160000000018</v>
      </c>
      <c r="GA36" s="52">
        <f t="shared" si="37"/>
        <v>33938.160000000018</v>
      </c>
    </row>
    <row r="37" spans="1:183" ht="15.75" x14ac:dyDescent="0.25">
      <c r="A37" s="66" t="s">
        <v>297</v>
      </c>
      <c r="B37" s="66" t="s">
        <v>298</v>
      </c>
      <c r="C37" s="67">
        <v>1</v>
      </c>
      <c r="D37" s="68" t="s">
        <v>299</v>
      </c>
      <c r="E37">
        <v>8</v>
      </c>
      <c r="F37" s="27">
        <v>828</v>
      </c>
      <c r="G37" s="27">
        <v>767</v>
      </c>
      <c r="H37" s="27">
        <v>762</v>
      </c>
      <c r="I37" s="27">
        <v>727</v>
      </c>
      <c r="J37" s="23">
        <v>120</v>
      </c>
      <c r="K37" s="23">
        <v>94</v>
      </c>
      <c r="L37" s="23">
        <v>99</v>
      </c>
      <c r="M37" s="23">
        <v>89</v>
      </c>
      <c r="N37" s="27">
        <v>708</v>
      </c>
      <c r="O37" s="27">
        <v>673</v>
      </c>
      <c r="P37" s="27">
        <v>663</v>
      </c>
      <c r="Q37" s="27">
        <v>638</v>
      </c>
      <c r="R37" s="25">
        <f>VLOOKUP($A37,'ADM, LTADM'!$B:$L,2,FALSE)</f>
        <v>1004.87</v>
      </c>
      <c r="S37" s="25">
        <f>VLOOKUP($A37,'ADM, LTADM'!$B:$L,3,FALSE)</f>
        <v>1033.3900000000001</v>
      </c>
      <c r="T37" s="25">
        <f>VLOOKUP($A37,'ADM, LTADM'!$B:$L,4,FALSE)</f>
        <v>963.75</v>
      </c>
      <c r="U37" s="25">
        <f>VLOOKUP($A37,'ADM, LTADM'!$B:$L,5,FALSE)</f>
        <v>931.56000000000006</v>
      </c>
      <c r="V37" s="29">
        <f>VLOOKUP($A37,'ADM, LTADM'!$B:$L,7,FALSE)</f>
        <v>1017.0600000000001</v>
      </c>
      <c r="W37" s="29">
        <f>VLOOKUP($A37,'ADM, LTADM'!$B:$L,8,FALSE)</f>
        <v>1023.9100000000001</v>
      </c>
      <c r="X37" s="29">
        <f>VLOOKUP($A37,'ADM, LTADM'!$B:$L,9,FALSE)</f>
        <v>1002.59</v>
      </c>
      <c r="Y37" s="29">
        <f>VLOOKUP($A37,'ADM, LTADM'!$B:$L,10,FALSE)</f>
        <v>948.95</v>
      </c>
      <c r="Z37" s="10">
        <v>996.95</v>
      </c>
      <c r="AA37" s="10">
        <v>1003.3199999999999</v>
      </c>
      <c r="AB37" s="10">
        <v>1014.85</v>
      </c>
      <c r="AC37" s="10">
        <v>993.43000000000006</v>
      </c>
      <c r="AD37" s="2">
        <v>0.41841004184100417</v>
      </c>
      <c r="AE37" s="2">
        <v>0.46879535558780844</v>
      </c>
      <c r="AF37" s="2">
        <v>0.47344461305007585</v>
      </c>
      <c r="AG37" s="2">
        <v>0.22480620155038761</v>
      </c>
      <c r="AH37" s="2">
        <f t="shared" si="0"/>
        <v>0.45355000349296276</v>
      </c>
      <c r="AI37" s="46">
        <f>VLOOKUP(A37,'[1]SU_SD IDEA 3-21'!$A:$B,2,FALSE)</f>
        <v>210</v>
      </c>
      <c r="AJ37" s="46">
        <f>VLOOKUP(A37,'[2]SU_SD IDEA 3-21'!$A:$B,2,FALSE)</f>
        <v>185</v>
      </c>
      <c r="AK37" s="46">
        <f>VLOOKUP(A37,'[3]SU_SD IDEA 3-21'!$A:$B,2,FALSE)</f>
        <v>172</v>
      </c>
      <c r="AL37" s="46">
        <f>VLOOKUP($A37,'[4]SU_SD IDEA 3-21'!$A:$B,2,FALSE)</f>
        <v>180</v>
      </c>
      <c r="AM37" s="22">
        <f t="shared" si="18"/>
        <v>0.20898225641127707</v>
      </c>
      <c r="AN37" s="22">
        <f t="shared" si="19"/>
        <v>0.17902244070486456</v>
      </c>
      <c r="AO37" s="22">
        <f t="shared" si="20"/>
        <v>0.17846952010376135</v>
      </c>
      <c r="AP37" s="22">
        <f t="shared" si="21"/>
        <v>0.1932242689681824</v>
      </c>
      <c r="AQ37" s="26" t="s">
        <v>222</v>
      </c>
      <c r="AR37" s="26" t="s">
        <v>222</v>
      </c>
      <c r="AS37" s="26" t="s">
        <v>222</v>
      </c>
      <c r="AT37" s="26" t="s">
        <v>222</v>
      </c>
      <c r="AU37" s="2">
        <v>0.55721393034825872</v>
      </c>
      <c r="AV37" s="2">
        <v>0.52040816326530615</v>
      </c>
      <c r="AW37" s="2">
        <v>0.48275862068965519</v>
      </c>
      <c r="AX37" s="2">
        <v>0.53186813186813187</v>
      </c>
      <c r="AY37" s="2">
        <v>0.44827586206896552</v>
      </c>
      <c r="AZ37" s="2">
        <v>0.41025641025641024</v>
      </c>
      <c r="BA37" s="2">
        <v>0.17543859649122806</v>
      </c>
      <c r="BB37" s="2">
        <v>0.39780219780219778</v>
      </c>
      <c r="BC37" s="2">
        <v>0.58333333333333337</v>
      </c>
      <c r="BD37" s="2" t="s">
        <v>222</v>
      </c>
      <c r="BE37" s="2" t="s">
        <v>222</v>
      </c>
      <c r="BF37" s="8">
        <v>0.57999999999999996</v>
      </c>
      <c r="BG37" s="2">
        <v>0.31666666666666665</v>
      </c>
      <c r="BH37" s="2" t="s">
        <v>222</v>
      </c>
      <c r="BI37" s="2" t="s">
        <v>222</v>
      </c>
      <c r="BJ37" s="8">
        <v>0.32</v>
      </c>
      <c r="BK37" s="31">
        <f>VLOOKUP($A37,[5]FY20!$W:$AF,7,FALSE)</f>
        <v>13.042372881355933</v>
      </c>
      <c r="BL37" s="31">
        <f>VLOOKUP($A37,[5]FY20!$W:$AF,8,FALSE)</f>
        <v>2.1539548022598871</v>
      </c>
      <c r="BM37" s="31">
        <f>VLOOKUP($A37,[5]FY20!$W:$AF,9,FALSE)</f>
        <v>3.5169491525423728</v>
      </c>
      <c r="BN37" s="31">
        <f>VLOOKUP($A37,[5]FY20!$W:$AF,10,FALSE)</f>
        <v>6.8319209039548028</v>
      </c>
      <c r="BO37" s="55">
        <f>VLOOKUP($A37,[5]FY21!$W:$AF,7,FALSE)</f>
        <v>14.959881129271913</v>
      </c>
      <c r="BP37" s="55">
        <f>VLOOKUP($A37,[5]FY21!$W:$AF,8,FALSE)</f>
        <v>2.5631500742942048</v>
      </c>
      <c r="BQ37" s="55">
        <f>VLOOKUP($A37,[5]FY21!$W:$AF,9,FALSE)</f>
        <v>3.5215453194650825</v>
      </c>
      <c r="BR37" s="55">
        <f>VLOOKUP($A37,[5]FY21!$W:$AF,10,FALSE)</f>
        <v>7.9420505200594365</v>
      </c>
      <c r="BS37" s="31">
        <f>VLOOKUP($A37,[5]FY22!$W:$AF,7,FALSE)</f>
        <v>14.610859728506787</v>
      </c>
      <c r="BT37" s="31">
        <f>VLOOKUP($A37,[5]FY22!$W:$AF,8,FALSE)</f>
        <v>1.9607843137254901</v>
      </c>
      <c r="BU37" s="31">
        <f>VLOOKUP($A37,[5]FY22!$W:$AF,9,FALSE)</f>
        <v>3.8144796380090504</v>
      </c>
      <c r="BV37" s="31">
        <f>VLOOKUP($A37,[5]FY22!$W:$AF,10,FALSE)</f>
        <v>7.535444947209653</v>
      </c>
      <c r="BW37" s="55">
        <f>VLOOKUP($A37,[5]FY23!$W:$AF,7,FALSE)</f>
        <v>13.664576802507836</v>
      </c>
      <c r="BX37" s="55">
        <f>VLOOKUP($A37,[5]FY23!$W:$AF,8,FALSE)</f>
        <v>2.0376175548589339</v>
      </c>
      <c r="BY37" s="55">
        <f>VLOOKUP($A37,[5]FY23!$W:$AF,9,FALSE)</f>
        <v>3.9686520376175554</v>
      </c>
      <c r="BZ37" s="55">
        <f>VLOOKUP($A37,[5]FY23!$W:$AF,10,FALSE)</f>
        <v>8.4012539184952981</v>
      </c>
      <c r="CA37" s="37">
        <f>VLOOKUP($A37,[5]FY20!$W:$AF,3,FALSE)</f>
        <v>63500.65800303228</v>
      </c>
      <c r="CB37" s="37">
        <f>VLOOKUP($A37,[5]FY20!$W:$AF,4,FALSE)</f>
        <v>84349.809836065586</v>
      </c>
      <c r="CC37" s="37">
        <f>VLOOKUP($A37,[5]FY20!$W:$AF,5,FALSE)</f>
        <v>47627.730120481923</v>
      </c>
      <c r="CD37" s="37">
        <f>VLOOKUP($A37,[5]FY20!$W:$AF,6,FALSE)</f>
        <v>41154.700020673969</v>
      </c>
      <c r="CE37" s="52">
        <f>VLOOKUP($A37,[5]FY21!$W:$AF,3,FALSE)</f>
        <v>57808.342868494241</v>
      </c>
      <c r="CF37" s="52">
        <f>VLOOKUP($A37,[5]FY21!$W:$AF,4,FALSE)</f>
        <v>77121.44927536232</v>
      </c>
      <c r="CG37" s="52">
        <f>VLOOKUP($A37,[5]FY21!$W:$AF,5,FALSE)</f>
        <v>43913.157383966238</v>
      </c>
      <c r="CH37" s="52">
        <f>VLOOKUP($A37,[5]FY21!$W:$AF,6,FALSE)</f>
        <v>37680.437043966325</v>
      </c>
      <c r="CI37" s="37">
        <f>VLOOKUP($A37,[5]FY22!$W:$AF,3,FALSE)</f>
        <v>64897.401982037787</v>
      </c>
      <c r="CJ37" s="37">
        <f>VLOOKUP($A37,[5]FY22!$W:$AF,4,FALSE)</f>
        <v>90587.721538461527</v>
      </c>
      <c r="CK37" s="37">
        <f>VLOOKUP($A37,[5]FY22!$W:$AF,5,FALSE)</f>
        <v>51993.91419533411</v>
      </c>
      <c r="CL37" s="37">
        <f>VLOOKUP($A37,[5]FY22!$W:$AF,6,FALSE)</f>
        <v>43867.527822257805</v>
      </c>
      <c r="CM37" s="52">
        <f>VLOOKUP($A37,[5]FY23!$W:$AF,3,FALSE)</f>
        <v>68807.302362927279</v>
      </c>
      <c r="CN37" s="52">
        <f>VLOOKUP($A37,[5]FY23!$W:$AF,4,FALSE)</f>
        <v>95889.975384615376</v>
      </c>
      <c r="CO37" s="52">
        <f>VLOOKUP($A37,[5]FY23!$W:$AF,5,FALSE)</f>
        <v>60163.102290679293</v>
      </c>
      <c r="CP37" s="52">
        <f>VLOOKUP($A37,[5]FY23!$W:$AF,6,FALSE)</f>
        <v>49058.019402985068</v>
      </c>
      <c r="CQ37" s="5">
        <v>0.73799999999999999</v>
      </c>
      <c r="CR37" s="4">
        <v>0.77</v>
      </c>
      <c r="CS37" s="4">
        <v>0.75800000000000001</v>
      </c>
      <c r="CT37" s="4">
        <v>0.78500000000000003</v>
      </c>
      <c r="CU37" s="4">
        <v>0.76100000000000001</v>
      </c>
      <c r="CV37" s="4">
        <v>0.78500000000000003</v>
      </c>
      <c r="CW37" s="4">
        <v>0.74299999999999999</v>
      </c>
      <c r="CX37" s="4">
        <v>0.78900000000000003</v>
      </c>
      <c r="CY37" t="s">
        <v>223</v>
      </c>
      <c r="CZ37" t="s">
        <v>223</v>
      </c>
      <c r="DA37" t="s">
        <v>228</v>
      </c>
      <c r="DB37">
        <v>0</v>
      </c>
      <c r="DC37">
        <v>4</v>
      </c>
      <c r="DD37">
        <v>2</v>
      </c>
      <c r="DE37">
        <v>0</v>
      </c>
      <c r="DF37">
        <v>2</v>
      </c>
      <c r="DG37">
        <v>0</v>
      </c>
      <c r="DH37">
        <v>4</v>
      </c>
      <c r="DI37">
        <v>2</v>
      </c>
      <c r="DJ37">
        <v>0</v>
      </c>
      <c r="DK37">
        <v>2</v>
      </c>
      <c r="DL37">
        <v>1</v>
      </c>
      <c r="DM37">
        <v>2</v>
      </c>
      <c r="DN37">
        <v>1</v>
      </c>
      <c r="DO37">
        <v>0</v>
      </c>
      <c r="DP37">
        <v>0</v>
      </c>
      <c r="DQ37" s="5">
        <v>0</v>
      </c>
      <c r="DR37" s="5">
        <v>0.5</v>
      </c>
      <c r="DS37" s="5">
        <v>0.25</v>
      </c>
      <c r="DT37" s="5">
        <v>0</v>
      </c>
      <c r="DU37" s="5">
        <v>0.25</v>
      </c>
      <c r="DV37" s="5">
        <v>0</v>
      </c>
      <c r="DW37" s="5">
        <v>0.5</v>
      </c>
      <c r="DX37" s="5">
        <v>0.25</v>
      </c>
      <c r="DY37" s="5">
        <v>0</v>
      </c>
      <c r="DZ37" s="5">
        <v>0.25</v>
      </c>
      <c r="EA37" s="5">
        <v>0.125</v>
      </c>
      <c r="EB37" s="5">
        <v>0.25</v>
      </c>
      <c r="EC37" s="5">
        <v>0.125</v>
      </c>
      <c r="ED37" s="5">
        <v>0</v>
      </c>
      <c r="EE37" s="5">
        <v>0</v>
      </c>
      <c r="EF37" s="36">
        <f>VLOOKUP($A37,'[6]Updated (2)'!$A$2:$Q$54,2,FALSE)</f>
        <v>156600</v>
      </c>
      <c r="EG37" s="36">
        <f>VLOOKUP($A37,'[6]Updated (2)'!$A$2:$Q$54,3,FALSE)</f>
        <v>0</v>
      </c>
      <c r="EH37" s="36">
        <f>VLOOKUP($A37,'[6]Updated (2)'!$A$2:$Q$54,4,FALSE)</f>
        <v>1908458</v>
      </c>
      <c r="EI37" s="36">
        <f>VLOOKUP($A37,'[6]Updated (2)'!$A$2:$Q$54,5,FALSE)</f>
        <v>0</v>
      </c>
      <c r="EJ37" s="48">
        <f>VLOOKUP($A37,'[6]Updated (2)'!$A$2:$Q$54,6,FALSE)</f>
        <v>622035</v>
      </c>
      <c r="EK37" s="48">
        <f>VLOOKUP($A37,'[6]Updated (2)'!$A$2:$Q$54,7,FALSE)</f>
        <v>0</v>
      </c>
      <c r="EL37" s="48">
        <f>VLOOKUP($A37,'[6]Updated (2)'!$A$2:$Q$54,8,FALSE)</f>
        <v>1925921</v>
      </c>
      <c r="EM37" s="48">
        <f>VLOOKUP($A37,'[6]Updated (2)'!$A$2:$Q$54,9,FALSE)</f>
        <v>0</v>
      </c>
      <c r="EN37" s="36">
        <f>VLOOKUP($A37,'[6]Updated (2)'!$A$2:$Q$54,10,FALSE)</f>
        <v>428926</v>
      </c>
      <c r="EO37" s="36">
        <f>VLOOKUP($A37,'[6]Updated (2)'!$A$2:$Q$54,11,FALSE)</f>
        <v>0</v>
      </c>
      <c r="EP37" s="36">
        <f>VLOOKUP($A37,'[6]Updated (2)'!$A$2:$Q$54,12,FALSE)</f>
        <v>1669280</v>
      </c>
      <c r="EQ37" s="36">
        <f>VLOOKUP($A37,'[6]Updated (2)'!$A$2:$Q$54,13,FALSE)</f>
        <v>0</v>
      </c>
      <c r="ER37" s="48">
        <f>VLOOKUP($A37,'[6]Updated (2)'!$A$2:$Q$54,14,FALSE)</f>
        <v>530439.80000000005</v>
      </c>
      <c r="ES37" s="48">
        <f>VLOOKUP($A37,'[6]Updated (2)'!$A$2:$Q$54,15,FALSE)</f>
        <v>0</v>
      </c>
      <c r="ET37" s="48">
        <f>VLOOKUP($A37,'[6]Updated (2)'!$A$2:$Q$54,16,FALSE)</f>
        <v>1591669</v>
      </c>
      <c r="EU37" s="48">
        <f>VLOOKUP($A37,'[6]Updated (2)'!$A$2:$Q$54,17,FALSE)</f>
        <v>0</v>
      </c>
      <c r="EV37" s="37">
        <f>VLOOKUP($A37,[7]Totals!$A37:$F88,3,FALSE)-SUM(EF37:EI37)</f>
        <v>26748097.940000001</v>
      </c>
      <c r="EW37" s="37">
        <f>VLOOKUP($A37,[7]Totals!$A37:$F88,4,FALSE)-SUM(EJ37:EM37)</f>
        <v>27445702.889999956</v>
      </c>
      <c r="EX37" s="37">
        <f>VLOOKUP($A37,[7]Totals!$A37:$F88,5,FALSE)-SUM(EN37:EQ37)</f>
        <v>29172606.760000013</v>
      </c>
      <c r="EY37" s="37">
        <f>VLOOKUP($A37,[7]Totals!$A37:$F88,6,FALSE)-SUM(ER37:EU37)</f>
        <v>29866781.630000018</v>
      </c>
      <c r="EZ37" s="52">
        <f t="shared" si="22"/>
        <v>26299.429669832654</v>
      </c>
      <c r="FA37" s="52">
        <f t="shared" si="23"/>
        <v>26804.800119151052</v>
      </c>
      <c r="FB37" s="52">
        <f t="shared" si="24"/>
        <v>29097.244895720098</v>
      </c>
      <c r="FC37" s="52">
        <f t="shared" si="25"/>
        <v>31473.504009694941</v>
      </c>
      <c r="FD37" s="37">
        <f>VLOOKUP($A37,[8]Totals!$A$2:$F$54,3)-SUM(EF37:EI37)</f>
        <v>25960156.260000002</v>
      </c>
      <c r="FE37" s="37">
        <f>VLOOKUP($A37,[8]Totals!$A$2:$F$54,4)-SUM(EJ37:EM37)</f>
        <v>27376519.689999975</v>
      </c>
      <c r="FF37" s="37">
        <f>VLOOKUP($A37,[8]Totals!$A$2:$F$54,5)-SUM(EN37:EQ37)</f>
        <v>29116993.570000008</v>
      </c>
      <c r="FG37" s="37">
        <f>VLOOKUP($A37,[8]Totals!$A$2:$F$54,6)-SUM(ER37:EU37)</f>
        <v>29616348.230000012</v>
      </c>
      <c r="FH37" s="52">
        <f t="shared" si="26"/>
        <v>25524.704796177215</v>
      </c>
      <c r="FI37" s="52">
        <f t="shared" si="27"/>
        <v>26737.23246183744</v>
      </c>
      <c r="FJ37" s="52">
        <f t="shared" si="28"/>
        <v>29041.77537178708</v>
      </c>
      <c r="FK37" s="52">
        <f t="shared" si="29"/>
        <v>31209.598219084262</v>
      </c>
      <c r="FL37" s="37">
        <f>VLOOKUP($A37,[9]Totals!$A$3:$F$54,3)-SUM(EF37:EI37)</f>
        <v>23542976.920000017</v>
      </c>
      <c r="FM37" s="37">
        <f>VLOOKUP($A37,[9]Totals!$A$3:$F$54,4)-SUM(EJ37:EM37)</f>
        <v>24024871.529999964</v>
      </c>
      <c r="FN37" s="37">
        <f>VLOOKUP($A37,[9]Totals!$A$3:$F$54,5)-SUM(EN37:EQ37)</f>
        <v>25009132.800000016</v>
      </c>
      <c r="FO37" s="37">
        <f>VLOOKUP($A37,[9]Totals!$A$3:$F$54,6)-SUM(ER37:EU37)</f>
        <v>25610202.519999962</v>
      </c>
      <c r="FP37" s="52">
        <f t="shared" si="30"/>
        <v>23148.070831612702</v>
      </c>
      <c r="FQ37" s="52">
        <f t="shared" si="31"/>
        <v>23463.85085603223</v>
      </c>
      <c r="FR37" s="52">
        <f t="shared" si="32"/>
        <v>24944.526476426072</v>
      </c>
      <c r="FS37" s="52">
        <f t="shared" si="33"/>
        <v>26987.936687918183</v>
      </c>
      <c r="FT37" s="37">
        <f>VLOOKUP($A37,[10]Calculations!$AF$3:$AJ$54,2,FALSE)-EI37</f>
        <v>5924799.9900000002</v>
      </c>
      <c r="FU37" s="37">
        <f>VLOOKUP($A37,[10]Calculations!$AF$3:$AJ$54,3,FALSE)-EM37</f>
        <v>5959043.1600000001</v>
      </c>
      <c r="FV37" s="37">
        <f>VLOOKUP($A37,[10]Calculations!$AF$3:$AJ$54,4,FALSE)-EQ37</f>
        <v>5926974.3299999982</v>
      </c>
      <c r="FW37" s="37">
        <f>VLOOKUP($A37,[10]Calculations!$AF$3:$AJ$54,5,FALSE)-EU37</f>
        <v>6202647.5546511607</v>
      </c>
      <c r="FX37" s="52">
        <f t="shared" si="34"/>
        <v>28213.333285714285</v>
      </c>
      <c r="FY37" s="52">
        <f t="shared" si="35"/>
        <v>32211.044108108108</v>
      </c>
      <c r="FZ37" s="52">
        <f t="shared" si="36"/>
        <v>34459.153081395336</v>
      </c>
      <c r="GA37" s="52">
        <f t="shared" si="37"/>
        <v>34459.153081395336</v>
      </c>
    </row>
    <row r="38" spans="1:183" ht="15.75" x14ac:dyDescent="0.25">
      <c r="A38" s="66" t="s">
        <v>300</v>
      </c>
      <c r="B38" s="66" t="s">
        <v>301</v>
      </c>
      <c r="C38" s="67">
        <v>2</v>
      </c>
      <c r="D38" s="68" t="s">
        <v>299</v>
      </c>
      <c r="E38">
        <v>6</v>
      </c>
      <c r="F38" s="27">
        <v>1176</v>
      </c>
      <c r="G38" s="27">
        <v>1074</v>
      </c>
      <c r="H38" s="27">
        <v>1058</v>
      </c>
      <c r="I38" s="27">
        <v>1063</v>
      </c>
      <c r="J38" s="23">
        <v>117</v>
      </c>
      <c r="K38" s="23">
        <v>82</v>
      </c>
      <c r="L38" s="23">
        <v>77</v>
      </c>
      <c r="M38" s="23">
        <v>92</v>
      </c>
      <c r="N38" s="27">
        <v>1059</v>
      </c>
      <c r="O38" s="27">
        <v>992</v>
      </c>
      <c r="P38" s="27">
        <v>981</v>
      </c>
      <c r="Q38" s="27">
        <v>971</v>
      </c>
      <c r="R38" s="25">
        <f>VLOOKUP($A38,'ADM, LTADM'!$B:$L,2,FALSE)</f>
        <v>1197.42</v>
      </c>
      <c r="S38" s="25">
        <f>VLOOKUP($A38,'ADM, LTADM'!$B:$L,3,FALSE)</f>
        <v>1202.03</v>
      </c>
      <c r="T38" s="25">
        <f>VLOOKUP($A38,'ADM, LTADM'!$B:$L,4,FALSE)</f>
        <v>1090.4799999999998</v>
      </c>
      <c r="U38" s="25">
        <f>VLOOKUP($A38,'ADM, LTADM'!$B:$L,5,FALSE)</f>
        <v>1092.8600000000001</v>
      </c>
      <c r="V38" s="29">
        <f>VLOOKUP($A38,'ADM, LTADM'!$B:$L,7,FALSE)</f>
        <v>1213.78</v>
      </c>
      <c r="W38" s="29">
        <f>VLOOKUP($A38,'ADM, LTADM'!$B:$L,8,FALSE)</f>
        <v>1206.01</v>
      </c>
      <c r="X38" s="29">
        <f>VLOOKUP($A38,'ADM, LTADM'!$B:$L,9,FALSE)</f>
        <v>1151.22</v>
      </c>
      <c r="Y38" s="29">
        <f>VLOOKUP($A38,'ADM, LTADM'!$B:$L,10,FALSE)</f>
        <v>1093.1200000000001</v>
      </c>
      <c r="Z38" s="10">
        <v>1279.3800000000001</v>
      </c>
      <c r="AA38" s="10">
        <v>1234.78</v>
      </c>
      <c r="AB38" s="10">
        <v>1228.06</v>
      </c>
      <c r="AC38" s="10">
        <v>1193.6300000000001</v>
      </c>
      <c r="AD38" s="2">
        <v>0.54142581888246633</v>
      </c>
      <c r="AE38" s="2">
        <v>0.39794871794871794</v>
      </c>
      <c r="AF38" s="2">
        <v>0.43865030674846628</v>
      </c>
      <c r="AG38" s="2">
        <v>0.50766087844739527</v>
      </c>
      <c r="AH38" s="2">
        <f t="shared" si="0"/>
        <v>0.45934161452655015</v>
      </c>
      <c r="AI38" s="46">
        <f>VLOOKUP(A38,'[1]SU_SD IDEA 3-21'!$A:$B,2,FALSE)</f>
        <v>265</v>
      </c>
      <c r="AJ38" s="46">
        <f>VLOOKUP(A38,'[2]SU_SD IDEA 3-21'!$A:$B,2,FALSE)</f>
        <v>251</v>
      </c>
      <c r="AK38" s="46">
        <f>VLOOKUP(A38,'[3]SU_SD IDEA 3-21'!$A:$B,2,FALSE)</f>
        <v>245</v>
      </c>
      <c r="AL38" s="46">
        <f>VLOOKUP($A38,'[4]SU_SD IDEA 3-21'!$A:$B,2,FALSE)</f>
        <v>256</v>
      </c>
      <c r="AM38" s="22">
        <f t="shared" si="18"/>
        <v>0.22130914800153662</v>
      </c>
      <c r="AN38" s="22">
        <f t="shared" si="19"/>
        <v>0.20881342395780472</v>
      </c>
      <c r="AO38" s="22">
        <f t="shared" si="20"/>
        <v>0.22467170420365348</v>
      </c>
      <c r="AP38" s="22">
        <f t="shared" si="21"/>
        <v>0.23424775360064415</v>
      </c>
      <c r="AQ38" s="26" t="s">
        <v>222</v>
      </c>
      <c r="AR38" s="26" t="s">
        <v>222</v>
      </c>
      <c r="AS38" s="26" t="s">
        <v>222</v>
      </c>
      <c r="AT38" s="26" t="s">
        <v>222</v>
      </c>
      <c r="AU38" s="2">
        <v>0.52066115702479343</v>
      </c>
      <c r="AV38" s="2">
        <v>0.45491803278688525</v>
      </c>
      <c r="AW38" s="2">
        <v>0.61194029850746268</v>
      </c>
      <c r="AX38" s="2">
        <v>0.50271247739602165</v>
      </c>
      <c r="AY38" s="2">
        <v>0.40329218106995884</v>
      </c>
      <c r="AZ38" s="2">
        <v>0.27868852459016391</v>
      </c>
      <c r="BA38" s="2">
        <v>0.34328358208955223</v>
      </c>
      <c r="BB38" s="2">
        <v>0.34115523465703973</v>
      </c>
      <c r="BC38" s="2">
        <v>0.3253012048192771</v>
      </c>
      <c r="BD38" s="2" t="s">
        <v>222</v>
      </c>
      <c r="BE38" s="2">
        <v>0.15068493150684931</v>
      </c>
      <c r="BF38" s="8">
        <v>0.24</v>
      </c>
      <c r="BG38" s="2">
        <v>0.23170731707317074</v>
      </c>
      <c r="BH38" s="2" t="s">
        <v>222</v>
      </c>
      <c r="BI38" s="2">
        <v>0.19178082191780821</v>
      </c>
      <c r="BJ38" s="8">
        <v>0.21</v>
      </c>
      <c r="BK38" s="31">
        <f>VLOOKUP($A38,[5]FY20!$W:$AF,7,FALSE)</f>
        <v>12.69262134088763</v>
      </c>
      <c r="BL38" s="31">
        <f>VLOOKUP($A38,[5]FY20!$W:$AF,8,FALSE)</f>
        <v>3.3522190745986782</v>
      </c>
      <c r="BM38" s="31">
        <f>VLOOKUP($A38,[5]FY20!$W:$AF,9,FALSE)</f>
        <v>4.2965061378659106</v>
      </c>
      <c r="BN38" s="31">
        <f>VLOOKUP($A38,[5]FY20!$W:$AF,10,FALSE)</f>
        <v>6.3267233238904623</v>
      </c>
      <c r="BO38" s="55">
        <f>VLOOKUP($A38,[5]FY21!$W:$AF,7,FALSE)</f>
        <v>13.638104838709678</v>
      </c>
      <c r="BP38" s="55">
        <f>VLOOKUP($A38,[5]FY21!$W:$AF,8,FALSE)</f>
        <v>3.0745967741935485</v>
      </c>
      <c r="BQ38" s="55">
        <f>VLOOKUP($A38,[5]FY21!$W:$AF,9,FALSE)</f>
        <v>5.1693548387096779</v>
      </c>
      <c r="BR38" s="55">
        <f>VLOOKUP($A38,[5]FY21!$W:$AF,10,FALSE)</f>
        <v>7.134072580645161</v>
      </c>
      <c r="BS38" s="31">
        <f>VLOOKUP($A38,[5]FY22!$W:$AF,7,FALSE)</f>
        <v>16.123343527013255</v>
      </c>
      <c r="BT38" s="31">
        <f>VLOOKUP($A38,[5]FY22!$W:$AF,8,FALSE)</f>
        <v>2.7013251783893986</v>
      </c>
      <c r="BU38" s="31">
        <f>VLOOKUP($A38,[5]FY22!$W:$AF,9,FALSE)</f>
        <v>5.6065239551478081</v>
      </c>
      <c r="BV38" s="31">
        <f>VLOOKUP($A38,[5]FY22!$W:$AF,10,FALSE)</f>
        <v>7.9989806320081573</v>
      </c>
      <c r="BW38" s="55">
        <f>VLOOKUP($A38,[5]FY23!$W:$AF,7,FALSE)</f>
        <v>11.900102986611742</v>
      </c>
      <c r="BX38" s="55">
        <f>VLOOKUP($A38,[5]FY23!$W:$AF,8,FALSE)</f>
        <v>2.368692070030896</v>
      </c>
      <c r="BY38" s="55">
        <f>VLOOKUP($A38,[5]FY23!$W:$AF,9,FALSE)</f>
        <v>5.3141091658084445</v>
      </c>
      <c r="BZ38" s="55">
        <f>VLOOKUP($A38,[5]FY23!$W:$AF,10,FALSE)</f>
        <v>7.7754891864057694</v>
      </c>
      <c r="CA38" s="37">
        <f>VLOOKUP($A38,[5]FY20!$W:$AF,3,FALSE)</f>
        <v>58626.868338813132</v>
      </c>
      <c r="CB38" s="37">
        <f>VLOOKUP($A38,[5]FY20!$W:$AF,4,FALSE)</f>
        <v>42795.108169014085</v>
      </c>
      <c r="CC38" s="37">
        <f>VLOOKUP($A38,[5]FY20!$W:$AF,5,FALSE)</f>
        <v>45115.095824175834</v>
      </c>
      <c r="CD38" s="37">
        <f>VLOOKUP($A38,[5]FY20!$W:$AF,6,FALSE)</f>
        <v>36199.117462686576</v>
      </c>
      <c r="CE38" s="52">
        <f>VLOOKUP($A38,[5]FY21!$W:$AF,3,FALSE)</f>
        <v>58392.48547564492</v>
      </c>
      <c r="CF38" s="52">
        <f>VLOOKUP($A38,[5]FY21!$W:$AF,4,FALSE)</f>
        <v>49733.574426229512</v>
      </c>
      <c r="CG38" s="52">
        <f>VLOOKUP($A38,[5]FY21!$W:$AF,5,FALSE)</f>
        <v>44889.757605304214</v>
      </c>
      <c r="CH38" s="52">
        <f>VLOOKUP($A38,[5]FY21!$W:$AF,6,FALSE)</f>
        <v>36445.768404691247</v>
      </c>
      <c r="CI38" s="37">
        <f>VLOOKUP($A38,[5]FY22!$W:$AF,3,FALSE)</f>
        <v>48577.924574824545</v>
      </c>
      <c r="CJ38" s="37">
        <f>VLOOKUP($A38,[5]FY22!$W:$AF,4,FALSE)</f>
        <v>47499.887169811322</v>
      </c>
      <c r="CK38" s="37">
        <f>VLOOKUP($A38,[5]FY22!$W:$AF,5,FALSE)</f>
        <v>40470.901999999995</v>
      </c>
      <c r="CL38" s="37">
        <f>VLOOKUP($A38,[5]FY22!$W:$AF,6,FALSE)</f>
        <v>40694.2808716707</v>
      </c>
      <c r="CM38" s="52">
        <f>VLOOKUP($A38,[5]FY23!$W:$AF,3,FALSE)</f>
        <v>61910.484379056688</v>
      </c>
      <c r="CN38" s="52">
        <f>VLOOKUP($A38,[5]FY23!$W:$AF,4,FALSE)</f>
        <v>55655.885652173914</v>
      </c>
      <c r="CO38" s="52">
        <f>VLOOKUP($A38,[5]FY23!$W:$AF,5,FALSE)</f>
        <v>40528.544186046507</v>
      </c>
      <c r="CP38" s="52">
        <f>VLOOKUP($A38,[5]FY23!$W:$AF,6,FALSE)</f>
        <v>40639.718940397353</v>
      </c>
      <c r="CQ38" s="5">
        <v>0.83499999999999996</v>
      </c>
      <c r="CR38" s="4">
        <v>0.90200000000000002</v>
      </c>
      <c r="CS38" s="4">
        <v>0.81299999999999994</v>
      </c>
      <c r="CT38" s="4">
        <v>0.89</v>
      </c>
      <c r="CU38" s="4">
        <v>0.72</v>
      </c>
      <c r="CV38" s="4">
        <v>0.86</v>
      </c>
      <c r="CW38" s="4">
        <v>0.77700000000000002</v>
      </c>
      <c r="CX38" s="4">
        <v>0.84399999999999997</v>
      </c>
      <c r="CY38" t="s">
        <v>223</v>
      </c>
      <c r="CZ38" t="s">
        <v>223</v>
      </c>
      <c r="DA38" t="s">
        <v>243</v>
      </c>
      <c r="DB38">
        <v>0</v>
      </c>
      <c r="DC38">
        <v>0</v>
      </c>
      <c r="DD38">
        <v>3</v>
      </c>
      <c r="DE38">
        <v>0</v>
      </c>
      <c r="DF38">
        <v>3</v>
      </c>
      <c r="DG38">
        <v>0</v>
      </c>
      <c r="DH38">
        <v>0</v>
      </c>
      <c r="DI38">
        <v>4</v>
      </c>
      <c r="DJ38">
        <v>0</v>
      </c>
      <c r="DK38">
        <v>2</v>
      </c>
      <c r="DL38">
        <v>0</v>
      </c>
      <c r="DM38">
        <v>0</v>
      </c>
      <c r="DN38">
        <v>0</v>
      </c>
      <c r="DO38">
        <v>1</v>
      </c>
      <c r="DP38">
        <v>0</v>
      </c>
      <c r="DQ38" s="5">
        <v>0</v>
      </c>
      <c r="DR38" s="5">
        <v>0</v>
      </c>
      <c r="DS38" s="5">
        <v>0.5</v>
      </c>
      <c r="DT38" s="5">
        <v>0</v>
      </c>
      <c r="DU38" s="5">
        <v>0.5</v>
      </c>
      <c r="DV38" s="5">
        <v>0</v>
      </c>
      <c r="DW38" s="5">
        <v>0</v>
      </c>
      <c r="DX38" s="5">
        <v>0.66700000000000004</v>
      </c>
      <c r="DY38" s="5">
        <v>0</v>
      </c>
      <c r="DZ38" s="5">
        <v>0.33300000000000002</v>
      </c>
      <c r="EA38" s="5">
        <v>0</v>
      </c>
      <c r="EB38" s="5">
        <v>0</v>
      </c>
      <c r="EC38" s="5">
        <v>0</v>
      </c>
      <c r="ED38" s="5">
        <v>0.16700000000000001</v>
      </c>
      <c r="EE38" s="5">
        <v>0</v>
      </c>
      <c r="EF38" s="36">
        <f>VLOOKUP($A38,'[6]Updated (2)'!$A$2:$Q$54,2,FALSE)</f>
        <v>0</v>
      </c>
      <c r="EG38" s="36">
        <f>VLOOKUP($A38,'[6]Updated (2)'!$A$2:$Q$54,3,FALSE)</f>
        <v>0</v>
      </c>
      <c r="EH38" s="36">
        <f>VLOOKUP($A38,'[6]Updated (2)'!$A$2:$Q$54,4,FALSE)</f>
        <v>0</v>
      </c>
      <c r="EI38" s="36">
        <f>VLOOKUP($A38,'[6]Updated (2)'!$A$2:$Q$54,5,FALSE)</f>
        <v>0</v>
      </c>
      <c r="EJ38" s="48">
        <f>VLOOKUP($A38,'[6]Updated (2)'!$A$2:$Q$54,6,FALSE)</f>
        <v>0</v>
      </c>
      <c r="EK38" s="48">
        <f>VLOOKUP($A38,'[6]Updated (2)'!$A$2:$Q$54,7,FALSE)</f>
        <v>0</v>
      </c>
      <c r="EL38" s="48">
        <f>VLOOKUP($A38,'[6]Updated (2)'!$A$2:$Q$54,8,FALSE)</f>
        <v>0</v>
      </c>
      <c r="EM38" s="48">
        <f>VLOOKUP($A38,'[6]Updated (2)'!$A$2:$Q$54,9,FALSE)</f>
        <v>0</v>
      </c>
      <c r="EN38" s="36">
        <f>VLOOKUP($A38,'[6]Updated (2)'!$A$2:$Q$54,10,FALSE)</f>
        <v>0</v>
      </c>
      <c r="EO38" s="36">
        <f>VLOOKUP($A38,'[6]Updated (2)'!$A$2:$Q$54,11,FALSE)</f>
        <v>0</v>
      </c>
      <c r="EP38" s="36">
        <f>VLOOKUP($A38,'[6]Updated (2)'!$A$2:$Q$54,12,FALSE)</f>
        <v>0</v>
      </c>
      <c r="EQ38" s="36">
        <f>VLOOKUP($A38,'[6]Updated (2)'!$A$2:$Q$54,13,FALSE)</f>
        <v>0</v>
      </c>
      <c r="ER38" s="48">
        <f>VLOOKUP($A38,'[6]Updated (2)'!$A$2:$Q$54,14,FALSE)</f>
        <v>0</v>
      </c>
      <c r="ES38" s="48">
        <f>VLOOKUP($A38,'[6]Updated (2)'!$A$2:$Q$54,15,FALSE)</f>
        <v>0</v>
      </c>
      <c r="ET38" s="48">
        <f>VLOOKUP($A38,'[6]Updated (2)'!$A$2:$Q$54,16,FALSE)</f>
        <v>0</v>
      </c>
      <c r="EU38" s="48">
        <f>VLOOKUP($A38,'[6]Updated (2)'!$A$2:$Q$54,17,FALSE)</f>
        <v>0</v>
      </c>
      <c r="EV38" s="37">
        <f>VLOOKUP($A38,[7]Totals!$A38:$F89,3,FALSE)-SUM(EF38:EI38)</f>
        <v>32670471.490000054</v>
      </c>
      <c r="EW38" s="37">
        <f>VLOOKUP($A38,[7]Totals!$A38:$F89,4,FALSE)-SUM(EJ38:EM38)</f>
        <v>33330354.789999969</v>
      </c>
      <c r="EX38" s="37">
        <f>VLOOKUP($A38,[7]Totals!$A38:$F89,5,FALSE)-SUM(EN38:EQ38)</f>
        <v>32329999.260000043</v>
      </c>
      <c r="EY38" s="37">
        <f>VLOOKUP($A38,[7]Totals!$A38:$F89,6,FALSE)-SUM(ER38:EU38)</f>
        <v>36923171.410000041</v>
      </c>
      <c r="EZ38" s="52">
        <f t="shared" si="22"/>
        <v>26916.304017202503</v>
      </c>
      <c r="FA38" s="52">
        <f t="shared" si="23"/>
        <v>27636.880946260786</v>
      </c>
      <c r="FB38" s="52">
        <f t="shared" si="24"/>
        <v>28083.250169385559</v>
      </c>
      <c r="FC38" s="52">
        <f t="shared" si="25"/>
        <v>33777.784149956125</v>
      </c>
      <c r="FD38" s="37">
        <f>VLOOKUP($A38,[8]Totals!$A$2:$F$54,3)-SUM(EF38:EI38)</f>
        <v>31625455.559999969</v>
      </c>
      <c r="FE38" s="37">
        <f>VLOOKUP($A38,[8]Totals!$A$2:$F$54,4)-SUM(EJ38:EM38)</f>
        <v>31452116.48999995</v>
      </c>
      <c r="FF38" s="37">
        <f>VLOOKUP($A38,[8]Totals!$A$2:$F$54,5)-SUM(EN38:EQ38)</f>
        <v>30797815.510000028</v>
      </c>
      <c r="FG38" s="37">
        <f>VLOOKUP($A38,[8]Totals!$A$2:$F$54,6)-SUM(ER38:EU38)</f>
        <v>35912285.230000027</v>
      </c>
      <c r="FH38" s="52">
        <f t="shared" si="26"/>
        <v>26055.344098601039</v>
      </c>
      <c r="FI38" s="52">
        <f t="shared" si="27"/>
        <v>26079.482334308963</v>
      </c>
      <c r="FJ38" s="52">
        <f t="shared" si="28"/>
        <v>26752.32840812358</v>
      </c>
      <c r="FK38" s="52">
        <f t="shared" si="29"/>
        <v>32853.012688451425</v>
      </c>
      <c r="FL38" s="37">
        <f>VLOOKUP($A38,[9]Totals!$A$3:$F$54,3)-SUM(EF38:EI38)</f>
        <v>26710725.240000039</v>
      </c>
      <c r="FM38" s="37">
        <f>VLOOKUP($A38,[9]Totals!$A$3:$F$54,4)-SUM(EJ38:EM38)</f>
        <v>27087925.219999984</v>
      </c>
      <c r="FN38" s="37">
        <f>VLOOKUP($A38,[9]Totals!$A$3:$F$54,5)-SUM(EN38:EQ38)</f>
        <v>24493956.609999973</v>
      </c>
      <c r="FO38" s="37">
        <f>VLOOKUP($A38,[9]Totals!$A$3:$F$54,6)-SUM(ER38:EU38)</f>
        <v>27061738.99000001</v>
      </c>
      <c r="FP38" s="52">
        <f t="shared" si="30"/>
        <v>22006.232793422234</v>
      </c>
      <c r="FQ38" s="52">
        <f t="shared" si="31"/>
        <v>22460.779943781548</v>
      </c>
      <c r="FR38" s="52">
        <f t="shared" si="32"/>
        <v>21276.521090669004</v>
      </c>
      <c r="FS38" s="52">
        <f t="shared" si="33"/>
        <v>24756.421060816752</v>
      </c>
      <c r="FT38" s="37">
        <f>VLOOKUP($A38,[10]Calculations!$AF$3:$AJ$54,2,FALSE)-EI38</f>
        <v>6980789.9900000002</v>
      </c>
      <c r="FU38" s="37">
        <f>VLOOKUP($A38,[10]Calculations!$AF$3:$AJ$54,3,FALSE)-EM38</f>
        <v>7475525.8600000013</v>
      </c>
      <c r="FV38" s="37">
        <f>VLOOKUP($A38,[10]Calculations!$AF$3:$AJ$54,4,FALSE)-EQ38</f>
        <v>8025046.7200000007</v>
      </c>
      <c r="FW38" s="37">
        <f>VLOOKUP($A38,[10]Calculations!$AF$3:$AJ$54,5,FALSE)-EU38</f>
        <v>8385354.9400816336</v>
      </c>
      <c r="FX38" s="52">
        <f t="shared" si="34"/>
        <v>26342.603735849058</v>
      </c>
      <c r="FY38" s="52">
        <f t="shared" si="35"/>
        <v>29782.971553784864</v>
      </c>
      <c r="FZ38" s="52">
        <f t="shared" si="36"/>
        <v>32755.292734693881</v>
      </c>
      <c r="GA38" s="52">
        <f t="shared" si="37"/>
        <v>32755.292734693881</v>
      </c>
    </row>
    <row r="39" spans="1:183" ht="15.75" x14ac:dyDescent="0.25">
      <c r="A39" s="66" t="s">
        <v>302</v>
      </c>
      <c r="B39" s="66" t="s">
        <v>303</v>
      </c>
      <c r="C39" s="67">
        <v>4</v>
      </c>
      <c r="D39" s="68" t="s">
        <v>299</v>
      </c>
      <c r="E39">
        <v>9</v>
      </c>
      <c r="F39" s="27">
        <v>2696</v>
      </c>
      <c r="G39" s="27">
        <v>2495</v>
      </c>
      <c r="H39" s="27">
        <v>2584</v>
      </c>
      <c r="I39" s="27">
        <v>2532</v>
      </c>
      <c r="J39" s="23">
        <v>294</v>
      </c>
      <c r="K39" s="23">
        <v>198</v>
      </c>
      <c r="L39" s="23">
        <v>238</v>
      </c>
      <c r="M39" s="23">
        <v>241</v>
      </c>
      <c r="N39" s="27">
        <v>2402</v>
      </c>
      <c r="O39" s="27">
        <v>2297</v>
      </c>
      <c r="P39" s="27">
        <v>2346</v>
      </c>
      <c r="Q39" s="27">
        <v>2291</v>
      </c>
      <c r="R39" s="25">
        <f>VLOOKUP($A39,'ADM, LTADM'!$B:$L,2,FALSE)</f>
        <v>2571.37</v>
      </c>
      <c r="S39" s="25">
        <f>VLOOKUP($A39,'ADM, LTADM'!$B:$L,3,FALSE)</f>
        <v>2571.7600000000002</v>
      </c>
      <c r="T39" s="25">
        <f>VLOOKUP($A39,'ADM, LTADM'!$B:$L,4,FALSE)</f>
        <v>2415.3500000000004</v>
      </c>
      <c r="U39" s="25">
        <f>VLOOKUP($A39,'ADM, LTADM'!$B:$L,5,FALSE)</f>
        <v>2470.9</v>
      </c>
      <c r="V39" s="29">
        <f>VLOOKUP($A39,'ADM, LTADM'!$B:$L,7,FALSE)</f>
        <v>2579.4900000000002</v>
      </c>
      <c r="W39" s="29">
        <f>VLOOKUP($A39,'ADM, LTADM'!$B:$L,8,FALSE)</f>
        <v>2590.1000000000004</v>
      </c>
      <c r="X39" s="29">
        <f>VLOOKUP($A39,'ADM, LTADM'!$B:$L,9,FALSE)</f>
        <v>2506.37</v>
      </c>
      <c r="Y39" s="29">
        <f>VLOOKUP($A39,'ADM, LTADM'!$B:$L,10,FALSE)</f>
        <v>2492.1</v>
      </c>
      <c r="Z39" s="10">
        <v>2573.09</v>
      </c>
      <c r="AA39" s="10">
        <v>2591.3999999999996</v>
      </c>
      <c r="AB39" s="10">
        <v>2600.94</v>
      </c>
      <c r="AC39" s="10">
        <v>2541.63</v>
      </c>
      <c r="AD39" s="2">
        <v>0.38993710691823902</v>
      </c>
      <c r="AE39" s="2">
        <v>0.40321180555555558</v>
      </c>
      <c r="AF39" s="2">
        <v>0.42439644218551459</v>
      </c>
      <c r="AG39" s="2">
        <v>0.38113863537592352</v>
      </c>
      <c r="AH39" s="2">
        <f t="shared" si="0"/>
        <v>0.40584845155310306</v>
      </c>
      <c r="AI39" s="46">
        <f>VLOOKUP(A39,'[1]SU_SD IDEA 3-21'!$A:$B,2,FALSE)</f>
        <v>470</v>
      </c>
      <c r="AJ39" s="46">
        <f>VLOOKUP(A39,'[2]SU_SD IDEA 3-21'!$A:$B,2,FALSE)</f>
        <v>452</v>
      </c>
      <c r="AK39" s="46">
        <f>VLOOKUP(A39,'[3]SU_SD IDEA 3-21'!$A:$B,2,FALSE)</f>
        <v>456</v>
      </c>
      <c r="AL39" s="46">
        <f>VLOOKUP($A39,'[4]SU_SD IDEA 3-21'!$A:$B,2,FALSE)</f>
        <v>479</v>
      </c>
      <c r="AM39" s="22">
        <f t="shared" si="18"/>
        <v>0.18278194114421495</v>
      </c>
      <c r="AN39" s="22">
        <f t="shared" si="19"/>
        <v>0.17575512489501352</v>
      </c>
      <c r="AO39" s="22">
        <f t="shared" si="20"/>
        <v>0.18879251454240584</v>
      </c>
      <c r="AP39" s="22">
        <f t="shared" si="21"/>
        <v>0.19385648953822493</v>
      </c>
      <c r="AQ39" s="26">
        <v>8.385744234800839E-3</v>
      </c>
      <c r="AR39" s="26">
        <v>1.2152777777777778E-2</v>
      </c>
      <c r="AS39" s="26">
        <v>1.0165184243964422E-2</v>
      </c>
      <c r="AT39" s="26">
        <v>1.7383746197305518E-2</v>
      </c>
      <c r="AU39" s="2">
        <v>0.57623762376237619</v>
      </c>
      <c r="AV39" s="2">
        <v>0.60761904761904761</v>
      </c>
      <c r="AW39" s="2">
        <v>0.51308900523560208</v>
      </c>
      <c r="AX39" s="2">
        <v>0.57985257985257987</v>
      </c>
      <c r="AY39" s="2">
        <v>0.53465346534653468</v>
      </c>
      <c r="AZ39" s="2">
        <v>0.47900763358778625</v>
      </c>
      <c r="BA39" s="2">
        <v>0.30366492146596857</v>
      </c>
      <c r="BB39" s="2">
        <v>0.47459016393442621</v>
      </c>
      <c r="BC39" s="2">
        <v>0.4756756756756757</v>
      </c>
      <c r="BD39" s="2">
        <v>0.59302325581395354</v>
      </c>
      <c r="BE39" s="2" t="s">
        <v>222</v>
      </c>
      <c r="BF39" s="8">
        <v>0.53</v>
      </c>
      <c r="BG39" s="2">
        <v>0.32240437158469948</v>
      </c>
      <c r="BH39" s="2">
        <v>0.50574712643678166</v>
      </c>
      <c r="BI39" s="2" t="s">
        <v>222</v>
      </c>
      <c r="BJ39" s="8">
        <v>0.41</v>
      </c>
      <c r="BK39" s="31">
        <f>VLOOKUP($A39,[5]FY20!$W:$AF,7,FALSE)</f>
        <v>11.210241465445462</v>
      </c>
      <c r="BL39" s="31">
        <f>VLOOKUP($A39,[5]FY20!$W:$AF,8,FALSE)</f>
        <v>1.3917568692756037</v>
      </c>
      <c r="BM39" s="31">
        <f>VLOOKUP($A39,[5]FY20!$W:$AF,9,FALSE)</f>
        <v>2.3164029975020819</v>
      </c>
      <c r="BN39" s="31">
        <f>VLOOKUP($A39,[5]FY20!$W:$AF,10,FALSE)</f>
        <v>3.5603663613655292</v>
      </c>
      <c r="BO39" s="55">
        <f>VLOOKUP($A39,[5]FY21!$W:$AF,7,FALSE)</f>
        <v>11.121462777535914</v>
      </c>
      <c r="BP39" s="55">
        <f>VLOOKUP($A39,[5]FY21!$W:$AF,8,FALSE)</f>
        <v>1.0387461906835003</v>
      </c>
      <c r="BQ39" s="55">
        <f>VLOOKUP($A39,[5]FY21!$W:$AF,9,FALSE)</f>
        <v>2.504571179799739</v>
      </c>
      <c r="BR39" s="55">
        <f>VLOOKUP($A39,[5]FY21!$W:$AF,10,FALSE)</f>
        <v>4.1876360470178504</v>
      </c>
      <c r="BS39" s="31">
        <f>VLOOKUP($A39,[5]FY22!$W:$AF,7,FALSE)</f>
        <v>11.445012787723785</v>
      </c>
      <c r="BT39" s="31">
        <f>VLOOKUP($A39,[5]FY22!$W:$AF,8,FALSE)</f>
        <v>1.0161977834612106</v>
      </c>
      <c r="BU39" s="31">
        <f>VLOOKUP($A39,[5]FY22!$W:$AF,9,FALSE)</f>
        <v>2.6820119352088665</v>
      </c>
      <c r="BV39" s="31">
        <f>VLOOKUP($A39,[5]FY22!$W:$AF,10,FALSE)</f>
        <v>4.4927536231884062</v>
      </c>
      <c r="BW39" s="55">
        <f>VLOOKUP($A39,[5]FY23!$W:$AF,7,FALSE)</f>
        <v>12.293321693583588</v>
      </c>
      <c r="BX39" s="55">
        <f>VLOOKUP($A39,[5]FY23!$W:$AF,8,FALSE)</f>
        <v>1.1008293321693583</v>
      </c>
      <c r="BY39" s="55">
        <f>VLOOKUP($A39,[5]FY23!$W:$AF,9,FALSE)</f>
        <v>2.8057616761239634</v>
      </c>
      <c r="BZ39" s="55">
        <f>VLOOKUP($A39,[5]FY23!$W:$AF,10,FALSE)</f>
        <v>4.5072020951549536</v>
      </c>
      <c r="CA39" s="37">
        <f>VLOOKUP($A39,[5]FY20!$W:$AF,3,FALSE)</f>
        <v>62332.803580049753</v>
      </c>
      <c r="CB39" s="37">
        <f>VLOOKUP($A39,[5]FY20!$W:$AF,4,FALSE)</f>
        <v>65550.631468740656</v>
      </c>
      <c r="CC39" s="37">
        <f>VLOOKUP($A39,[5]FY20!$W:$AF,5,FALSE)</f>
        <v>61022.729331416231</v>
      </c>
      <c r="CD39" s="37">
        <f>VLOOKUP($A39,[5]FY20!$W:$AF,6,FALSE)</f>
        <v>45160.699719363889</v>
      </c>
      <c r="CE39" s="52">
        <f>VLOOKUP($A39,[5]FY21!$W:$AF,3,FALSE)</f>
        <v>62310.205120175378</v>
      </c>
      <c r="CF39" s="52">
        <f>VLOOKUP($A39,[5]FY21!$W:$AF,4,FALSE)</f>
        <v>87743.419949706629</v>
      </c>
      <c r="CG39" s="52">
        <f>VLOOKUP($A39,[5]FY21!$W:$AF,5,FALSE)</f>
        <v>61400.382409177822</v>
      </c>
      <c r="CH39" s="52">
        <f>VLOOKUP($A39,[5]FY21!$W:$AF,6,FALSE)</f>
        <v>48395.124233288276</v>
      </c>
      <c r="CI39" s="37">
        <f>VLOOKUP($A39,[5]FY22!$W:$AF,3,FALSE)</f>
        <v>65486.364990689013</v>
      </c>
      <c r="CJ39" s="37">
        <f>VLOOKUP($A39,[5]FY22!$W:$AF,4,FALSE)</f>
        <v>93146.476510067121</v>
      </c>
      <c r="CK39" s="37">
        <f>VLOOKUP($A39,[5]FY22!$W:$AF,5,FALSE)</f>
        <v>62584.329307056578</v>
      </c>
      <c r="CL39" s="37">
        <f>VLOOKUP($A39,[5]FY22!$W:$AF,6,FALSE)</f>
        <v>51172.960151802647</v>
      </c>
      <c r="CM39" s="52">
        <f>VLOOKUP($A39,[5]FY23!$W:$AF,3,FALSE)</f>
        <v>67823.466126970598</v>
      </c>
      <c r="CN39" s="52">
        <f>VLOOKUP($A39,[5]FY23!$W:$AF,4,FALSE)</f>
        <v>97283.227597145131</v>
      </c>
      <c r="CO39" s="52">
        <f>VLOOKUP($A39,[5]FY23!$W:$AF,5,FALSE)</f>
        <v>68015.043559427504</v>
      </c>
      <c r="CP39" s="52">
        <f>VLOOKUP($A39,[5]FY23!$W:$AF,6,FALSE)</f>
        <v>52927.484020918077</v>
      </c>
      <c r="CQ39" s="5">
        <v>0.79400000000000004</v>
      </c>
      <c r="CR39" s="4">
        <v>0.85099999999999998</v>
      </c>
      <c r="CS39" s="4">
        <v>0.76800000000000002</v>
      </c>
      <c r="CT39" s="4">
        <v>0.83499999999999996</v>
      </c>
      <c r="CU39" s="4">
        <v>0.72499999999999998</v>
      </c>
      <c r="CV39" s="4">
        <v>0.84099999999999997</v>
      </c>
      <c r="CW39" s="4">
        <v>0.74</v>
      </c>
      <c r="CX39" s="4">
        <v>0.81799999999999995</v>
      </c>
      <c r="CY39" t="s">
        <v>223</v>
      </c>
      <c r="CZ39" t="s">
        <v>223</v>
      </c>
      <c r="DA39" t="s">
        <v>228</v>
      </c>
      <c r="DB39">
        <v>0</v>
      </c>
      <c r="DC39">
        <v>1</v>
      </c>
      <c r="DD39">
        <v>6</v>
      </c>
      <c r="DE39">
        <v>0</v>
      </c>
      <c r="DF39">
        <v>2</v>
      </c>
      <c r="DG39">
        <v>0</v>
      </c>
      <c r="DH39">
        <v>1</v>
      </c>
      <c r="DI39">
        <v>5</v>
      </c>
      <c r="DJ39">
        <v>0</v>
      </c>
      <c r="DK39">
        <v>3</v>
      </c>
      <c r="DL39">
        <v>2</v>
      </c>
      <c r="DM39">
        <v>1</v>
      </c>
      <c r="DN39">
        <v>2</v>
      </c>
      <c r="DO39">
        <v>2</v>
      </c>
      <c r="DP39">
        <v>0</v>
      </c>
      <c r="DQ39" s="5">
        <v>0</v>
      </c>
      <c r="DR39" s="5">
        <v>0.111</v>
      </c>
      <c r="DS39" s="5">
        <v>0.66700000000000004</v>
      </c>
      <c r="DT39" s="5">
        <v>0</v>
      </c>
      <c r="DU39" s="5">
        <v>0.222</v>
      </c>
      <c r="DV39" s="5">
        <v>0</v>
      </c>
      <c r="DW39" s="5">
        <v>0.111</v>
      </c>
      <c r="DX39" s="5">
        <v>0.55600000000000005</v>
      </c>
      <c r="DY39" s="5">
        <v>0</v>
      </c>
      <c r="DZ39" s="5">
        <v>0.33300000000000002</v>
      </c>
      <c r="EA39" s="5">
        <v>0.222</v>
      </c>
      <c r="EB39" s="5">
        <v>0.111</v>
      </c>
      <c r="EC39" s="5">
        <v>0.222</v>
      </c>
      <c r="ED39" s="5">
        <v>0.222</v>
      </c>
      <c r="EE39" s="5">
        <v>0</v>
      </c>
      <c r="EF39" s="36">
        <f>VLOOKUP($A39,'[6]Updated (2)'!$A$2:$Q$54,2,FALSE)</f>
        <v>0</v>
      </c>
      <c r="EG39" s="36">
        <f>VLOOKUP($A39,'[6]Updated (2)'!$A$2:$Q$54,3,FALSE)</f>
        <v>0</v>
      </c>
      <c r="EH39" s="36">
        <f>VLOOKUP($A39,'[6]Updated (2)'!$A$2:$Q$54,4,FALSE)</f>
        <v>0</v>
      </c>
      <c r="EI39" s="36">
        <f>VLOOKUP($A39,'[6]Updated (2)'!$A$2:$Q$54,5,FALSE)</f>
        <v>0</v>
      </c>
      <c r="EJ39" s="48">
        <f>VLOOKUP($A39,'[6]Updated (2)'!$A$2:$Q$54,6,FALSE)</f>
        <v>0</v>
      </c>
      <c r="EK39" s="48">
        <f>VLOOKUP($A39,'[6]Updated (2)'!$A$2:$Q$54,7,FALSE)</f>
        <v>0</v>
      </c>
      <c r="EL39" s="48">
        <f>VLOOKUP($A39,'[6]Updated (2)'!$A$2:$Q$54,8,FALSE)</f>
        <v>0</v>
      </c>
      <c r="EM39" s="48">
        <f>VLOOKUP($A39,'[6]Updated (2)'!$A$2:$Q$54,9,FALSE)</f>
        <v>0</v>
      </c>
      <c r="EN39" s="36">
        <f>VLOOKUP($A39,'[6]Updated (2)'!$A$2:$Q$54,10,FALSE)</f>
        <v>0</v>
      </c>
      <c r="EO39" s="36">
        <f>VLOOKUP($A39,'[6]Updated (2)'!$A$2:$Q$54,11,FALSE)</f>
        <v>0</v>
      </c>
      <c r="EP39" s="36">
        <f>VLOOKUP($A39,'[6]Updated (2)'!$A$2:$Q$54,12,FALSE)</f>
        <v>0</v>
      </c>
      <c r="EQ39" s="36">
        <f>VLOOKUP($A39,'[6]Updated (2)'!$A$2:$Q$54,13,FALSE)</f>
        <v>0</v>
      </c>
      <c r="ER39" s="48">
        <f>VLOOKUP($A39,'[6]Updated (2)'!$A$2:$Q$54,14,FALSE)</f>
        <v>0</v>
      </c>
      <c r="ES39" s="48">
        <f>VLOOKUP($A39,'[6]Updated (2)'!$A$2:$Q$54,15,FALSE)</f>
        <v>0</v>
      </c>
      <c r="ET39" s="48">
        <f>VLOOKUP($A39,'[6]Updated (2)'!$A$2:$Q$54,16,FALSE)</f>
        <v>0</v>
      </c>
      <c r="EU39" s="48">
        <f>VLOOKUP($A39,'[6]Updated (2)'!$A$2:$Q$54,17,FALSE)</f>
        <v>0</v>
      </c>
      <c r="EV39" s="37">
        <f>VLOOKUP($A39,[7]Totals!$A39:$F90,3,FALSE)-SUM(EF39:EI39)</f>
        <v>65901106</v>
      </c>
      <c r="EW39" s="37">
        <f>VLOOKUP($A39,[7]Totals!$A39:$F90,4,FALSE)-SUM(EJ39:EM39)</f>
        <v>68159458</v>
      </c>
      <c r="EX39" s="37">
        <f>VLOOKUP($A39,[7]Totals!$A39:$F90,5,FALSE)-SUM(EN39:EQ39)</f>
        <v>75479568</v>
      </c>
      <c r="EY39" s="37">
        <f>VLOOKUP($A39,[7]Totals!$A39:$F90,6,FALSE)-SUM(ER39:EU39)</f>
        <v>82490875</v>
      </c>
      <c r="EZ39" s="52">
        <f t="shared" si="22"/>
        <v>25548.114549775342</v>
      </c>
      <c r="FA39" s="52">
        <f t="shared" si="23"/>
        <v>26315.377012470559</v>
      </c>
      <c r="FB39" s="52">
        <f t="shared" si="24"/>
        <v>30115.093940639254</v>
      </c>
      <c r="FC39" s="52">
        <f t="shared" si="25"/>
        <v>33100.948998836328</v>
      </c>
      <c r="FD39" s="37">
        <f>VLOOKUP($A39,[8]Totals!$A$2:$F$54,3)-SUM(EF39:EI39)</f>
        <v>65335585</v>
      </c>
      <c r="FE39" s="37">
        <f>VLOOKUP($A39,[8]Totals!$A$2:$F$54,4)-SUM(EJ39:EM39)</f>
        <v>67488214</v>
      </c>
      <c r="FF39" s="37">
        <f>VLOOKUP($A39,[8]Totals!$A$2:$F$54,5)-SUM(EN39:EQ39)</f>
        <v>74795567</v>
      </c>
      <c r="FG39" s="37">
        <f>VLOOKUP($A39,[8]Totals!$A$2:$F$54,6)-SUM(ER39:EU39)</f>
        <v>82108971</v>
      </c>
      <c r="FH39" s="52">
        <f t="shared" si="26"/>
        <v>25328.877026078797</v>
      </c>
      <c r="FI39" s="52">
        <f t="shared" si="27"/>
        <v>26056.219450986446</v>
      </c>
      <c r="FJ39" s="52">
        <f t="shared" si="28"/>
        <v>29842.188902675982</v>
      </c>
      <c r="FK39" s="52">
        <f t="shared" si="29"/>
        <v>32947.703141928498</v>
      </c>
      <c r="FL39" s="37">
        <f>VLOOKUP($A39,[9]Totals!$A$3:$F$54,3)-SUM(EF39:EI39)</f>
        <v>57341484</v>
      </c>
      <c r="FM39" s="37">
        <f>VLOOKUP($A39,[9]Totals!$A$3:$F$54,4)-SUM(EJ39:EM39)</f>
        <v>57670427</v>
      </c>
      <c r="FN39" s="37">
        <f>VLOOKUP($A39,[9]Totals!$A$3:$F$54,5)-SUM(EN39:EQ39)</f>
        <v>62688535</v>
      </c>
      <c r="FO39" s="37">
        <f>VLOOKUP($A39,[9]Totals!$A$3:$F$54,6)-SUM(ER39:EU39)</f>
        <v>66990878</v>
      </c>
      <c r="FP39" s="52">
        <f t="shared" si="30"/>
        <v>22229.775653326818</v>
      </c>
      <c r="FQ39" s="52">
        <f t="shared" si="31"/>
        <v>22265.714451179487</v>
      </c>
      <c r="FR39" s="52">
        <f t="shared" si="32"/>
        <v>25011.684228585564</v>
      </c>
      <c r="FS39" s="52">
        <f t="shared" si="33"/>
        <v>26881.296095662296</v>
      </c>
      <c r="FT39" s="37">
        <f>VLOOKUP($A39,[10]Calculations!$AF$3:$AJ$54,2,FALSE)-EI39</f>
        <v>12644556</v>
      </c>
      <c r="FU39" s="37">
        <f>VLOOKUP($A39,[10]Calculations!$AF$3:$AJ$54,3,FALSE)-EM39</f>
        <v>12622078</v>
      </c>
      <c r="FV39" s="37">
        <f>VLOOKUP($A39,[10]Calculations!$AF$3:$AJ$54,4,FALSE)-EQ39</f>
        <v>14651005</v>
      </c>
      <c r="FW39" s="37">
        <f>VLOOKUP($A39,[10]Calculations!$AF$3:$AJ$54,5,FALSE)-EU39</f>
        <v>15389981.129385965</v>
      </c>
      <c r="FX39" s="52">
        <f t="shared" si="34"/>
        <v>26903.310638297873</v>
      </c>
      <c r="FY39" s="52">
        <f t="shared" si="35"/>
        <v>27924.951327433628</v>
      </c>
      <c r="FZ39" s="52">
        <f t="shared" si="36"/>
        <v>32129.396929824561</v>
      </c>
      <c r="GA39" s="52">
        <f t="shared" si="37"/>
        <v>32129.396929824561</v>
      </c>
    </row>
    <row r="40" spans="1:183" ht="15.75" x14ac:dyDescent="0.25">
      <c r="A40" s="66" t="s">
        <v>304</v>
      </c>
      <c r="B40" s="66" t="s">
        <v>305</v>
      </c>
      <c r="C40" s="67">
        <v>1</v>
      </c>
      <c r="D40" s="68" t="s">
        <v>299</v>
      </c>
      <c r="E40">
        <v>5</v>
      </c>
      <c r="F40" s="27">
        <v>619</v>
      </c>
      <c r="G40" s="27">
        <v>594</v>
      </c>
      <c r="H40" s="27">
        <v>562</v>
      </c>
      <c r="I40" s="27">
        <v>580</v>
      </c>
      <c r="J40" s="23">
        <v>54</v>
      </c>
      <c r="K40" s="23">
        <v>31</v>
      </c>
      <c r="L40" s="23">
        <v>34</v>
      </c>
      <c r="M40" s="23">
        <v>62</v>
      </c>
      <c r="N40" s="27">
        <v>565</v>
      </c>
      <c r="O40" s="27">
        <v>563</v>
      </c>
      <c r="P40" s="27">
        <v>528</v>
      </c>
      <c r="Q40" s="27">
        <v>518</v>
      </c>
      <c r="R40" s="25">
        <f>VLOOKUP($A40,'ADM, LTADM'!$B:$L,2,FALSE)</f>
        <v>703.12</v>
      </c>
      <c r="S40" s="25">
        <f>VLOOKUP($A40,'ADM, LTADM'!$B:$L,3,FALSE)</f>
        <v>707.3</v>
      </c>
      <c r="T40" s="25">
        <f>VLOOKUP($A40,'ADM, LTADM'!$B:$L,4,FALSE)</f>
        <v>637.1</v>
      </c>
      <c r="U40" s="25">
        <f>VLOOKUP($A40,'ADM, LTADM'!$B:$L,5,FALSE)</f>
        <v>643.65000000000009</v>
      </c>
      <c r="V40" s="29">
        <f>VLOOKUP($A40,'ADM, LTADM'!$B:$L,7,FALSE)</f>
        <v>713.64</v>
      </c>
      <c r="W40" s="29">
        <f>VLOOKUP($A40,'ADM, LTADM'!$B:$L,8,FALSE)</f>
        <v>708.4</v>
      </c>
      <c r="X40" s="29">
        <f>VLOOKUP($A40,'ADM, LTADM'!$B:$L,9,FALSE)</f>
        <v>674.54</v>
      </c>
      <c r="Y40" s="29">
        <f>VLOOKUP($A40,'ADM, LTADM'!$B:$L,10,FALSE)</f>
        <v>642.31999999999994</v>
      </c>
      <c r="Z40" s="10">
        <v>714.67</v>
      </c>
      <c r="AA40" s="10">
        <v>723.8599999999999</v>
      </c>
      <c r="AB40" s="10">
        <v>723.63999999999987</v>
      </c>
      <c r="AC40" s="10">
        <v>704.45</v>
      </c>
      <c r="AD40" s="2">
        <v>0.53654188948306591</v>
      </c>
      <c r="AE40" s="2">
        <v>0.51930501930501927</v>
      </c>
      <c r="AF40" s="2">
        <v>0.33904761904761904</v>
      </c>
      <c r="AG40" s="2">
        <v>0.39961389961389959</v>
      </c>
      <c r="AH40" s="2">
        <f t="shared" si="0"/>
        <v>0.46496484261190135</v>
      </c>
      <c r="AI40" s="46">
        <f>VLOOKUP(A40,'[1]SU_SD IDEA 3-21'!$A:$B,2,FALSE)</f>
        <v>135</v>
      </c>
      <c r="AJ40" s="46">
        <f>VLOOKUP(A40,'[2]SU_SD IDEA 3-21'!$A:$B,2,FALSE)</f>
        <v>112</v>
      </c>
      <c r="AK40" s="46">
        <f>VLOOKUP(A40,'[3]SU_SD IDEA 3-21'!$A:$B,2,FALSE)</f>
        <v>121</v>
      </c>
      <c r="AL40" s="46">
        <f>VLOOKUP($A40,'[4]SU_SD IDEA 3-21'!$A:$B,2,FALSE)</f>
        <v>119</v>
      </c>
      <c r="AM40" s="22">
        <f t="shared" si="18"/>
        <v>0.19200136534304243</v>
      </c>
      <c r="AN40" s="22">
        <f t="shared" si="19"/>
        <v>0.15834864979499505</v>
      </c>
      <c r="AO40" s="22">
        <f t="shared" si="20"/>
        <v>0.18992308899701774</v>
      </c>
      <c r="AP40" s="22">
        <f t="shared" si="21"/>
        <v>0.18488308863512776</v>
      </c>
      <c r="AQ40" s="26" t="s">
        <v>222</v>
      </c>
      <c r="AR40" s="26" t="s">
        <v>222</v>
      </c>
      <c r="AS40" s="26" t="s">
        <v>222</v>
      </c>
      <c r="AT40" s="26" t="s">
        <v>222</v>
      </c>
      <c r="AU40" s="2">
        <v>0.53703703703703709</v>
      </c>
      <c r="AV40" s="2">
        <v>0.59813084112149528</v>
      </c>
      <c r="AW40" s="2" t="s">
        <v>222</v>
      </c>
      <c r="AX40" s="2">
        <v>0.56744186046511624</v>
      </c>
      <c r="AY40" s="2">
        <v>0.39449541284403672</v>
      </c>
      <c r="AZ40" s="2">
        <v>0.43925233644859812</v>
      </c>
      <c r="BA40" s="2" t="s">
        <v>222</v>
      </c>
      <c r="BB40" s="2">
        <v>0.41666666666666669</v>
      </c>
      <c r="BC40" s="2">
        <v>0.49285714285714288</v>
      </c>
      <c r="BD40" s="2">
        <v>0.52873563218390807</v>
      </c>
      <c r="BE40" s="2" t="s">
        <v>222</v>
      </c>
      <c r="BF40" s="8">
        <v>0.51</v>
      </c>
      <c r="BG40" s="2">
        <v>0.3380281690140845</v>
      </c>
      <c r="BH40" s="2">
        <v>0.33720930232558138</v>
      </c>
      <c r="BI40" s="2" t="s">
        <v>222</v>
      </c>
      <c r="BJ40" s="8">
        <v>0.34</v>
      </c>
      <c r="BK40" s="31">
        <f>VLOOKUP($A40,[5]FY20!$W:$AF,7,FALSE)</f>
        <v>12.584070796460178</v>
      </c>
      <c r="BL40" s="31">
        <f>VLOOKUP($A40,[5]FY20!$W:$AF,8,FALSE)</f>
        <v>1.9469026548672566</v>
      </c>
      <c r="BM40" s="31">
        <f>VLOOKUP($A40,[5]FY20!$W:$AF,9,FALSE)</f>
        <v>3.3097345132743357</v>
      </c>
      <c r="BN40" s="31">
        <f>VLOOKUP($A40,[5]FY20!$W:$AF,10,FALSE)</f>
        <v>4.3805309734513278</v>
      </c>
      <c r="BO40" s="55">
        <f>VLOOKUP($A40,[5]FY21!$W:$AF,7,FALSE)</f>
        <v>11.538312611012435</v>
      </c>
      <c r="BP40" s="55">
        <f>VLOOKUP($A40,[5]FY21!$W:$AF,8,FALSE)</f>
        <v>1.5026642984014211</v>
      </c>
      <c r="BQ40" s="55">
        <f>VLOOKUP($A40,[5]FY21!$W:$AF,9,FALSE)</f>
        <v>3.2504442999999994</v>
      </c>
      <c r="BR40" s="55">
        <f>VLOOKUP($A40,[5]FY21!$W:$AF,10,FALSE)</f>
        <v>5.3960923623445813</v>
      </c>
      <c r="BS40" s="31">
        <f>VLOOKUP($A40,[5]FY22!$W:$AF,7,FALSE)</f>
        <v>12.253787878787879</v>
      </c>
      <c r="BT40" s="31">
        <f>VLOOKUP($A40,[5]FY22!$W:$AF,8,FALSE)</f>
        <v>1.9431818181818181</v>
      </c>
      <c r="BU40" s="31">
        <f>VLOOKUP($A40,[5]FY22!$W:$AF,9,FALSE)</f>
        <v>4.0340909090909083</v>
      </c>
      <c r="BV40" s="31">
        <f>VLOOKUP($A40,[5]FY22!$W:$AF,10,FALSE)</f>
        <v>6.861742424242423</v>
      </c>
      <c r="BW40" s="55">
        <f>VLOOKUP($A40,[5]FY23!$W:$AF,7,FALSE)</f>
        <v>11.467181467181467</v>
      </c>
      <c r="BX40" s="55">
        <f>VLOOKUP($A40,[5]FY23!$W:$AF,8,FALSE)</f>
        <v>1.9305019305019304</v>
      </c>
      <c r="BY40" s="55">
        <f>VLOOKUP($A40,[5]FY23!$W:$AF,9,FALSE)</f>
        <v>4.5077220077220064</v>
      </c>
      <c r="BZ40" s="55">
        <f>VLOOKUP($A40,[5]FY23!$W:$AF,10,FALSE)</f>
        <v>5.4922779922779927</v>
      </c>
      <c r="CA40" s="37">
        <f>VLOOKUP($A40,[5]FY20!$W:$AF,3,FALSE)</f>
        <v>57146.849507735576</v>
      </c>
      <c r="CB40" s="37">
        <f>VLOOKUP($A40,[5]FY20!$W:$AF,4,FALSE)</f>
        <v>73856.454545454544</v>
      </c>
      <c r="CC40" s="37">
        <f>VLOOKUP($A40,[5]FY20!$W:$AF,5,FALSE)</f>
        <v>56213.743315508022</v>
      </c>
      <c r="CD40" s="37">
        <f>VLOOKUP($A40,[5]FY20!$W:$AF,6,FALSE)</f>
        <v>34909.454545454537</v>
      </c>
      <c r="CE40" s="52">
        <f>VLOOKUP($A40,[5]FY21!$W:$AF,3,FALSE)</f>
        <v>59133.275965314409</v>
      </c>
      <c r="CF40" s="52">
        <f>VLOOKUP($A40,[5]FY21!$W:$AF,4,FALSE)</f>
        <v>92163.947990543733</v>
      </c>
      <c r="CG40" s="52">
        <f>VLOOKUP($A40,[5]FY21!$W:$AF,5,FALSE)</f>
        <v>62717.262930676327</v>
      </c>
      <c r="CH40" s="52">
        <f>VLOOKUP($A40,[5]FY21!$W:$AF,6,FALSE)</f>
        <v>38163.79196840027</v>
      </c>
      <c r="CI40" s="37">
        <f>VLOOKUP($A40,[5]FY22!$W:$AF,3,FALSE)</f>
        <v>58423.570324574961</v>
      </c>
      <c r="CJ40" s="37">
        <f>VLOOKUP($A40,[5]FY22!$W:$AF,4,FALSE)</f>
        <v>92093.859649122809</v>
      </c>
      <c r="CK40" s="37">
        <f>VLOOKUP($A40,[5]FY22!$W:$AF,5,FALSE)</f>
        <v>54671.549295774661</v>
      </c>
      <c r="CL40" s="37">
        <f>VLOOKUP($A40,[5]FY22!$W:$AF,6,FALSE)</f>
        <v>37587.524151255871</v>
      </c>
      <c r="CM40" s="52">
        <f>VLOOKUP($A40,[5]FY23!$W:$AF,3,FALSE)</f>
        <v>61318.080808080813</v>
      </c>
      <c r="CN40" s="52">
        <f>VLOOKUP($A40,[5]FY23!$W:$AF,4,FALSE)</f>
        <v>96538.7</v>
      </c>
      <c r="CO40" s="52">
        <f>VLOOKUP($A40,[5]FY23!$W:$AF,5,FALSE)</f>
        <v>54851.820128479674</v>
      </c>
      <c r="CP40" s="52">
        <f>VLOOKUP($A40,[5]FY23!$W:$AF,6,FALSE)</f>
        <v>42860.351493848852</v>
      </c>
      <c r="CQ40" s="5">
        <v>0.75600000000000001</v>
      </c>
      <c r="CR40" s="4">
        <v>0.93</v>
      </c>
      <c r="CS40" s="4">
        <v>0.78100000000000003</v>
      </c>
      <c r="CT40" s="4">
        <v>0.74</v>
      </c>
      <c r="CU40" s="4">
        <v>0.71399999999999997</v>
      </c>
      <c r="CV40" s="4">
        <v>0.75</v>
      </c>
      <c r="CW40" s="4">
        <v>0.82299999999999995</v>
      </c>
      <c r="CX40" s="4">
        <v>0.78100000000000003</v>
      </c>
      <c r="CY40" t="s">
        <v>223</v>
      </c>
      <c r="CZ40" t="s">
        <v>223</v>
      </c>
      <c r="DA40" t="s">
        <v>223</v>
      </c>
      <c r="DB40">
        <v>0</v>
      </c>
      <c r="DC40">
        <v>0</v>
      </c>
      <c r="DD40">
        <v>3</v>
      </c>
      <c r="DE40">
        <v>0</v>
      </c>
      <c r="DF40">
        <v>2</v>
      </c>
      <c r="DG40">
        <v>0</v>
      </c>
      <c r="DH40">
        <v>1</v>
      </c>
      <c r="DI40">
        <v>2</v>
      </c>
      <c r="DJ40">
        <v>0</v>
      </c>
      <c r="DK40">
        <v>2</v>
      </c>
      <c r="DL40">
        <v>0</v>
      </c>
      <c r="DM40">
        <v>1</v>
      </c>
      <c r="DN40">
        <v>1</v>
      </c>
      <c r="DO40">
        <v>0</v>
      </c>
      <c r="DP40">
        <v>0</v>
      </c>
      <c r="DQ40" s="5">
        <v>0</v>
      </c>
      <c r="DR40" s="5">
        <v>0</v>
      </c>
      <c r="DS40" s="5">
        <v>0.6</v>
      </c>
      <c r="DT40" s="5">
        <v>0</v>
      </c>
      <c r="DU40" s="5">
        <v>0.4</v>
      </c>
      <c r="DV40" s="5">
        <v>0</v>
      </c>
      <c r="DW40" s="5">
        <v>0.2</v>
      </c>
      <c r="DX40" s="5">
        <v>0.4</v>
      </c>
      <c r="DY40" s="5">
        <v>0</v>
      </c>
      <c r="DZ40" s="5">
        <v>0.4</v>
      </c>
      <c r="EA40" s="5">
        <v>0</v>
      </c>
      <c r="EB40" s="5">
        <v>0.2</v>
      </c>
      <c r="EC40" s="5">
        <v>0.2</v>
      </c>
      <c r="ED40" s="5">
        <v>0</v>
      </c>
      <c r="EE40" s="5">
        <v>0</v>
      </c>
      <c r="EF40" s="36">
        <f>VLOOKUP($A40,'[6]Updated (2)'!$A$2:$Q$54,2,FALSE)</f>
        <v>0</v>
      </c>
      <c r="EG40" s="36">
        <f>VLOOKUP($A40,'[6]Updated (2)'!$A$2:$Q$54,3,FALSE)</f>
        <v>0</v>
      </c>
      <c r="EH40" s="36">
        <f>VLOOKUP($A40,'[6]Updated (2)'!$A$2:$Q$54,4,FALSE)</f>
        <v>0</v>
      </c>
      <c r="EI40" s="36">
        <f>VLOOKUP($A40,'[6]Updated (2)'!$A$2:$Q$54,5,FALSE)</f>
        <v>0</v>
      </c>
      <c r="EJ40" s="48">
        <f>VLOOKUP($A40,'[6]Updated (2)'!$A$2:$Q$54,6,FALSE)</f>
        <v>0</v>
      </c>
      <c r="EK40" s="48">
        <f>VLOOKUP($A40,'[6]Updated (2)'!$A$2:$Q$54,7,FALSE)</f>
        <v>0</v>
      </c>
      <c r="EL40" s="48">
        <f>VLOOKUP($A40,'[6]Updated (2)'!$A$2:$Q$54,8,FALSE)</f>
        <v>0</v>
      </c>
      <c r="EM40" s="48">
        <f>VLOOKUP($A40,'[6]Updated (2)'!$A$2:$Q$54,9,FALSE)</f>
        <v>0</v>
      </c>
      <c r="EN40" s="36">
        <f>VLOOKUP($A40,'[6]Updated (2)'!$A$2:$Q$54,10,FALSE)</f>
        <v>0</v>
      </c>
      <c r="EO40" s="36">
        <f>VLOOKUP($A40,'[6]Updated (2)'!$A$2:$Q$54,11,FALSE)</f>
        <v>0</v>
      </c>
      <c r="EP40" s="36">
        <f>VLOOKUP($A40,'[6]Updated (2)'!$A$2:$Q$54,12,FALSE)</f>
        <v>0</v>
      </c>
      <c r="EQ40" s="36">
        <f>VLOOKUP($A40,'[6]Updated (2)'!$A$2:$Q$54,13,FALSE)</f>
        <v>0</v>
      </c>
      <c r="ER40" s="48">
        <f>VLOOKUP($A40,'[6]Updated (2)'!$A$2:$Q$54,14,FALSE)</f>
        <v>0</v>
      </c>
      <c r="ES40" s="48">
        <f>VLOOKUP($A40,'[6]Updated (2)'!$A$2:$Q$54,15,FALSE)</f>
        <v>0</v>
      </c>
      <c r="ET40" s="48">
        <f>VLOOKUP($A40,'[6]Updated (2)'!$A$2:$Q$54,16,FALSE)</f>
        <v>0</v>
      </c>
      <c r="EU40" s="48">
        <f>VLOOKUP($A40,'[6]Updated (2)'!$A$2:$Q$54,17,FALSE)</f>
        <v>0</v>
      </c>
      <c r="EV40" s="37">
        <f>VLOOKUP($A40,[7]Totals!$A40:$F91,3,FALSE)-SUM(EF40:EI40)</f>
        <v>17785638.829999991</v>
      </c>
      <c r="EW40" s="37">
        <f>VLOOKUP($A40,[7]Totals!$A40:$F91,4,FALSE)-SUM(EJ40:EM40)</f>
        <v>15758987.619999977</v>
      </c>
      <c r="EX40" s="37">
        <f>VLOOKUP($A40,[7]Totals!$A40:$F91,5,FALSE)-SUM(EN40:EQ40)</f>
        <v>18914875.999999989</v>
      </c>
      <c r="EY40" s="37">
        <f>VLOOKUP($A40,[7]Totals!$A40:$F91,6,FALSE)-SUM(ER40:EU40)</f>
        <v>21365428.609999996</v>
      </c>
      <c r="EZ40" s="52">
        <f t="shared" si="22"/>
        <v>24922.424233507078</v>
      </c>
      <c r="FA40" s="52">
        <f t="shared" si="23"/>
        <v>22245.888791643109</v>
      </c>
      <c r="FB40" s="52">
        <f t="shared" si="24"/>
        <v>28041.148041628356</v>
      </c>
      <c r="FC40" s="52">
        <f t="shared" si="25"/>
        <v>33262.904175488853</v>
      </c>
      <c r="FD40" s="37">
        <f>VLOOKUP($A40,[8]Totals!$A$2:$F$54,3)-SUM(EF40:EI40)</f>
        <v>17309644.710000023</v>
      </c>
      <c r="FE40" s="37">
        <f>VLOOKUP($A40,[8]Totals!$A$2:$F$54,4)-SUM(EJ40:EM40)</f>
        <v>15653070.969999986</v>
      </c>
      <c r="FF40" s="37">
        <f>VLOOKUP($A40,[8]Totals!$A$2:$F$54,5)-SUM(EN40:EQ40)</f>
        <v>18433533.969999984</v>
      </c>
      <c r="FG40" s="37">
        <f>VLOOKUP($A40,[8]Totals!$A$2:$F$54,6)-SUM(ER40:EU40)</f>
        <v>20841459.270000007</v>
      </c>
      <c r="FH40" s="52">
        <f t="shared" si="26"/>
        <v>24255.429502270086</v>
      </c>
      <c r="FI40" s="52">
        <f t="shared" si="27"/>
        <v>22096.373475437587</v>
      </c>
      <c r="FJ40" s="52">
        <f t="shared" si="28"/>
        <v>27327.562442553422</v>
      </c>
      <c r="FK40" s="52">
        <f t="shared" si="29"/>
        <v>32447.159157429334</v>
      </c>
      <c r="FL40" s="37">
        <f>VLOOKUP($A40,[9]Totals!$A$3:$F$54,3)-SUM(EF40:EI40)</f>
        <v>15756586.15000001</v>
      </c>
      <c r="FM40" s="37">
        <f>VLOOKUP($A40,[9]Totals!$A$3:$F$54,4)-SUM(EJ40:EM40)</f>
        <v>14412616.129999986</v>
      </c>
      <c r="FN40" s="37">
        <f>VLOOKUP($A40,[9]Totals!$A$3:$F$54,5)-SUM(EN40:EQ40)</f>
        <v>16609572.629999992</v>
      </c>
      <c r="FO40" s="37">
        <f>VLOOKUP($A40,[9]Totals!$A$3:$F$54,6)-SUM(ER40:EU40)</f>
        <v>18863956.989999995</v>
      </c>
      <c r="FP40" s="52">
        <f t="shared" si="30"/>
        <v>22079.180188890772</v>
      </c>
      <c r="FQ40" s="52">
        <f t="shared" si="31"/>
        <v>20345.307919254639</v>
      </c>
      <c r="FR40" s="52">
        <f t="shared" si="32"/>
        <v>24623.554763246051</v>
      </c>
      <c r="FS40" s="52">
        <f t="shared" si="33"/>
        <v>29368.472085564823</v>
      </c>
      <c r="FT40" s="37">
        <f>VLOOKUP($A40,[10]Calculations!$AF$3:$AJ$54,2,FALSE)-EI40</f>
        <v>4271772.2399999993</v>
      </c>
      <c r="FU40" s="37">
        <f>VLOOKUP($A40,[10]Calculations!$AF$3:$AJ$54,3,FALSE)-EM40</f>
        <v>3691115.790000001</v>
      </c>
      <c r="FV40" s="37">
        <f>VLOOKUP($A40,[10]Calculations!$AF$3:$AJ$54,4,FALSE)-EQ40</f>
        <v>4201293.13</v>
      </c>
      <c r="FW40" s="37">
        <f>VLOOKUP($A40,[10]Calculations!$AF$3:$AJ$54,5,FALSE)-EU40</f>
        <v>4131850.2683471073</v>
      </c>
      <c r="FX40" s="52">
        <f t="shared" si="34"/>
        <v>31642.757333333328</v>
      </c>
      <c r="FY40" s="52">
        <f t="shared" si="35"/>
        <v>32956.390982142868</v>
      </c>
      <c r="FZ40" s="52">
        <f t="shared" si="36"/>
        <v>34721.430826446282</v>
      </c>
      <c r="GA40" s="52">
        <f t="shared" si="37"/>
        <v>34721.430826446282</v>
      </c>
    </row>
    <row r="41" spans="1:183" ht="15.75" x14ac:dyDescent="0.25">
      <c r="A41" s="66" t="s">
        <v>306</v>
      </c>
      <c r="B41" s="66" t="s">
        <v>307</v>
      </c>
      <c r="C41" s="67">
        <v>2</v>
      </c>
      <c r="D41" s="68" t="s">
        <v>299</v>
      </c>
      <c r="E41">
        <v>6</v>
      </c>
      <c r="F41" s="27">
        <v>1107</v>
      </c>
      <c r="G41" s="27">
        <v>1145</v>
      </c>
      <c r="H41" s="27">
        <v>1164</v>
      </c>
      <c r="I41" s="27">
        <v>1026</v>
      </c>
      <c r="J41" s="23">
        <v>101</v>
      </c>
      <c r="K41" s="23">
        <v>96</v>
      </c>
      <c r="L41" s="23">
        <v>120</v>
      </c>
      <c r="M41" s="23">
        <v>128</v>
      </c>
      <c r="N41" s="27">
        <v>1006</v>
      </c>
      <c r="O41" s="27">
        <v>1049</v>
      </c>
      <c r="P41" s="27">
        <v>1044</v>
      </c>
      <c r="Q41" s="27">
        <v>898</v>
      </c>
      <c r="R41" s="25">
        <f>VLOOKUP($A41,'ADM, LTADM'!$B:$L,2,FALSE)</f>
        <v>987.64</v>
      </c>
      <c r="S41" s="25">
        <f>VLOOKUP($A41,'ADM, LTADM'!$B:$L,3,FALSE)</f>
        <v>1007.45</v>
      </c>
      <c r="T41" s="25">
        <f>VLOOKUP($A41,'ADM, LTADM'!$B:$L,4,FALSE)</f>
        <v>1018.5500000000001</v>
      </c>
      <c r="U41" s="25">
        <f>VLOOKUP($A41,'ADM, LTADM'!$B:$L,5,FALSE)</f>
        <v>993.33999999999992</v>
      </c>
      <c r="V41" s="29">
        <f>VLOOKUP($A41,'ADM, LTADM'!$B:$L,7,FALSE)</f>
        <v>983.97</v>
      </c>
      <c r="W41" s="29">
        <f>VLOOKUP($A41,'ADM, LTADM'!$B:$L,8,FALSE)</f>
        <v>999.29</v>
      </c>
      <c r="X41" s="29">
        <f>VLOOKUP($A41,'ADM, LTADM'!$B:$L,9,FALSE)</f>
        <v>1015.8700000000001</v>
      </c>
      <c r="Y41" s="29">
        <f>VLOOKUP($A41,'ADM, LTADM'!$B:$L,10,FALSE)</f>
        <v>1007.0199999999999</v>
      </c>
      <c r="Z41" s="10">
        <v>955.98</v>
      </c>
      <c r="AA41" s="10">
        <v>959.19</v>
      </c>
      <c r="AB41" s="10">
        <v>987</v>
      </c>
      <c r="AC41" s="10">
        <v>988.25</v>
      </c>
      <c r="AD41" s="2">
        <v>0.20886075949367089</v>
      </c>
      <c r="AE41" s="2">
        <v>0.21568627450980393</v>
      </c>
      <c r="AF41" s="2">
        <v>0.18769551616266944</v>
      </c>
      <c r="AG41" s="2">
        <v>0.10789766407119021</v>
      </c>
      <c r="AH41" s="2">
        <f t="shared" si="0"/>
        <v>0.20408085005538143</v>
      </c>
      <c r="AI41" s="46">
        <f>VLOOKUP(A41,'[1]SU_SD IDEA 3-21'!$A:$B,2,FALSE)</f>
        <v>118</v>
      </c>
      <c r="AJ41" s="46">
        <f>VLOOKUP(A41,'[2]SU_SD IDEA 3-21'!$A:$B,2,FALSE)</f>
        <v>118</v>
      </c>
      <c r="AK41" s="46">
        <f>VLOOKUP(A41,'[3]SU_SD IDEA 3-21'!$A:$B,2,FALSE)</f>
        <v>124</v>
      </c>
      <c r="AL41" s="46">
        <f>VLOOKUP($A41,'[4]SU_SD IDEA 3-21'!$A:$B,2,FALSE)</f>
        <v>136</v>
      </c>
      <c r="AM41" s="22">
        <f t="shared" si="18"/>
        <v>0.11947673241261998</v>
      </c>
      <c r="AN41" s="22">
        <f t="shared" si="19"/>
        <v>0.11712740086356642</v>
      </c>
      <c r="AO41" s="22">
        <f t="shared" si="20"/>
        <v>0.12174169162044081</v>
      </c>
      <c r="AP41" s="22">
        <f t="shared" si="21"/>
        <v>0.13691183280649125</v>
      </c>
      <c r="AQ41" s="26" t="s">
        <v>222</v>
      </c>
      <c r="AR41" s="26" t="s">
        <v>222</v>
      </c>
      <c r="AS41" s="26" t="s">
        <v>222</v>
      </c>
      <c r="AT41" s="26" t="s">
        <v>222</v>
      </c>
      <c r="AU41" s="2">
        <v>0.67821782178217827</v>
      </c>
      <c r="AV41" s="2">
        <v>0.63551401869158874</v>
      </c>
      <c r="AW41" s="2">
        <v>0.65306122448979587</v>
      </c>
      <c r="AX41" s="2">
        <v>0.6556420233463035</v>
      </c>
      <c r="AY41" s="2">
        <v>0.64676616915422891</v>
      </c>
      <c r="AZ41" s="2">
        <v>0.45070422535211269</v>
      </c>
      <c r="BA41" s="2">
        <v>0.34693877551020408</v>
      </c>
      <c r="BB41" s="2">
        <v>0.5078125</v>
      </c>
      <c r="BC41" s="2">
        <v>0.57471264367816088</v>
      </c>
      <c r="BD41" s="2" t="s">
        <v>222</v>
      </c>
      <c r="BE41" s="2">
        <v>0.58024691358024694</v>
      </c>
      <c r="BF41" s="8">
        <v>0.57999999999999996</v>
      </c>
      <c r="BG41" s="2">
        <v>0.42528735632183906</v>
      </c>
      <c r="BH41" s="2" t="s">
        <v>222</v>
      </c>
      <c r="BI41" s="2">
        <v>0.51249999999999996</v>
      </c>
      <c r="BJ41" s="8">
        <v>0.47</v>
      </c>
      <c r="BK41" s="31">
        <f>VLOOKUP($A41,[5]FY20!$W:$AF,7,FALSE)</f>
        <v>8.7952286282306176</v>
      </c>
      <c r="BL41" s="31">
        <f>VLOOKUP($A41,[5]FY20!$W:$AF,8,FALSE)</f>
        <v>1.650099403578529</v>
      </c>
      <c r="BM41" s="31">
        <f>VLOOKUP($A41,[5]FY20!$W:$AF,9,FALSE)</f>
        <v>1.5069582504970178</v>
      </c>
      <c r="BN41" s="31">
        <f>VLOOKUP($A41,[5]FY20!$W:$AF,10,FALSE)</f>
        <v>5.4264413518886681</v>
      </c>
      <c r="BO41" s="55">
        <f>VLOOKUP($A41,[5]FY21!$W:$AF,7,FALSE)</f>
        <v>8.2605338417540537</v>
      </c>
      <c r="BP41" s="55">
        <f>VLOOKUP($A41,[5]FY21!$W:$AF,8,FALSE)</f>
        <v>1.3345948522402289</v>
      </c>
      <c r="BQ41" s="55">
        <f>VLOOKUP($A41,[5]FY21!$W:$AF,9,FALSE)</f>
        <v>1.421353670162059</v>
      </c>
      <c r="BR41" s="55">
        <f>VLOOKUP($A41,[5]FY21!$W:$AF,10,FALSE)</f>
        <v>4.7856053384175405</v>
      </c>
      <c r="BS41" s="31">
        <f>VLOOKUP($A41,[5]FY22!$W:$AF,7,FALSE)</f>
        <v>8.6245210727969361</v>
      </c>
      <c r="BT41" s="31">
        <f>VLOOKUP($A41,[5]FY22!$W:$AF,8,FALSE)</f>
        <v>1.3409961685823755</v>
      </c>
      <c r="BU41" s="31">
        <f>VLOOKUP($A41,[5]FY22!$W:$AF,9,FALSE)</f>
        <v>1.7586206896551722</v>
      </c>
      <c r="BV41" s="31">
        <f>VLOOKUP($A41,[5]FY22!$W:$AF,10,FALSE)</f>
        <v>5.1810344827586201</v>
      </c>
      <c r="BW41" s="55">
        <f>VLOOKUP($A41,[5]FY23!$W:$AF,7,FALSE)</f>
        <v>9.7260579064587969</v>
      </c>
      <c r="BX41" s="55">
        <f>VLOOKUP($A41,[5]FY23!$W:$AF,8,FALSE)</f>
        <v>1.8930957683741649</v>
      </c>
      <c r="BY41" s="55">
        <f>VLOOKUP($A41,[5]FY23!$W:$AF,9,FALSE)</f>
        <v>2.1870824053452109</v>
      </c>
      <c r="BZ41" s="55">
        <f>VLOOKUP($A41,[5]FY23!$W:$AF,10,FALSE)</f>
        <v>5.924276169265033</v>
      </c>
      <c r="CA41" s="37">
        <f>VLOOKUP($A41,[5]FY20!$W:$AF,3,FALSE)</f>
        <v>63482.244575045195</v>
      </c>
      <c r="CB41" s="37">
        <f>VLOOKUP($A41,[5]FY20!$W:$AF,4,FALSE)</f>
        <v>82894.153012048177</v>
      </c>
      <c r="CC41" s="37">
        <f>VLOOKUP($A41,[5]FY20!$W:$AF,5,FALSE)</f>
        <v>62539.907651715039</v>
      </c>
      <c r="CD41" s="37">
        <f>VLOOKUP($A41,[5]FY20!$W:$AF,6,FALSE)</f>
        <v>42346.766807107524</v>
      </c>
      <c r="CE41" s="52">
        <f>VLOOKUP($A41,[5]FY21!$W:$AF,3,FALSE)</f>
        <v>62782.396454825554</v>
      </c>
      <c r="CF41" s="52">
        <f>VLOOKUP($A41,[5]FY21!$W:$AF,4,FALSE)</f>
        <v>89157.279694854966</v>
      </c>
      <c r="CG41" s="52">
        <f>VLOOKUP($A41,[5]FY21!$W:$AF,5,FALSE)</f>
        <v>66617.572099262237</v>
      </c>
      <c r="CH41" s="52">
        <f>VLOOKUP($A41,[5]FY21!$W:$AF,6,FALSE)</f>
        <v>45683.452520866114</v>
      </c>
      <c r="CI41" s="37">
        <f>VLOOKUP($A41,[5]FY22!$W:$AF,3,FALSE)</f>
        <v>66922.179031541527</v>
      </c>
      <c r="CJ41" s="37">
        <f>VLOOKUP($A41,[5]FY22!$W:$AF,4,FALSE)</f>
        <v>92696.428571428565</v>
      </c>
      <c r="CK41" s="37">
        <f>VLOOKUP($A41,[5]FY22!$W:$AF,5,FALSE)</f>
        <v>67542.81045751636</v>
      </c>
      <c r="CL41" s="37">
        <f>VLOOKUP($A41,[5]FY22!$W:$AF,6,FALSE)</f>
        <v>44435.69975965983</v>
      </c>
      <c r="CM41" s="52">
        <f>VLOOKUP($A41,[5]FY23!$W:$AF,3,FALSE)</f>
        <v>67479.008472635673</v>
      </c>
      <c r="CN41" s="52">
        <f>VLOOKUP($A41,[5]FY23!$W:$AF,4,FALSE)</f>
        <v>95446.470588235301</v>
      </c>
      <c r="CO41" s="52">
        <f>VLOOKUP($A41,[5]FY23!$W:$AF,5,FALSE)</f>
        <v>71593.177189409384</v>
      </c>
      <c r="CP41" s="52">
        <f>VLOOKUP($A41,[5]FY23!$W:$AF,6,FALSE)</f>
        <v>47473.552631578954</v>
      </c>
      <c r="CQ41" s="5">
        <v>0.81499999999999995</v>
      </c>
      <c r="CR41" s="4">
        <v>0.89600000000000002</v>
      </c>
      <c r="CS41" s="4">
        <v>0.86099999999999999</v>
      </c>
      <c r="CT41" s="4">
        <v>0.94799999999999995</v>
      </c>
      <c r="CU41" s="4">
        <v>0.91300000000000003</v>
      </c>
      <c r="CV41" s="4">
        <v>0.92300000000000004</v>
      </c>
      <c r="CW41" s="4">
        <v>0.94</v>
      </c>
      <c r="CX41" s="4">
        <v>0.88200000000000001</v>
      </c>
      <c r="CY41" t="s">
        <v>228</v>
      </c>
      <c r="CZ41" t="s">
        <v>223</v>
      </c>
      <c r="DA41" t="s">
        <v>228</v>
      </c>
      <c r="DB41">
        <v>0</v>
      </c>
      <c r="DC41">
        <v>2</v>
      </c>
      <c r="DD41">
        <v>1</v>
      </c>
      <c r="DE41">
        <v>0</v>
      </c>
      <c r="DF41">
        <v>3</v>
      </c>
      <c r="DG41">
        <v>0</v>
      </c>
      <c r="DH41">
        <v>1</v>
      </c>
      <c r="DI41">
        <v>3</v>
      </c>
      <c r="DJ41">
        <v>0</v>
      </c>
      <c r="DK41">
        <v>2</v>
      </c>
      <c r="DL41">
        <v>0</v>
      </c>
      <c r="DM41">
        <v>2</v>
      </c>
      <c r="DN41">
        <v>0</v>
      </c>
      <c r="DO41">
        <v>0</v>
      </c>
      <c r="DP41">
        <v>0</v>
      </c>
      <c r="DQ41" s="5">
        <v>0</v>
      </c>
      <c r="DR41" s="5">
        <v>0.33300000000000002</v>
      </c>
      <c r="DS41" s="5">
        <v>0.16700000000000001</v>
      </c>
      <c r="DT41" s="5">
        <v>0</v>
      </c>
      <c r="DU41" s="5">
        <v>0.5</v>
      </c>
      <c r="DV41" s="5">
        <v>0</v>
      </c>
      <c r="DW41" s="5">
        <v>0.16700000000000001</v>
      </c>
      <c r="DX41" s="5">
        <v>0.5</v>
      </c>
      <c r="DY41" s="5">
        <v>0</v>
      </c>
      <c r="DZ41" s="5">
        <v>0.33300000000000002</v>
      </c>
      <c r="EA41" s="5">
        <v>0</v>
      </c>
      <c r="EB41" s="5">
        <v>0.33300000000000002</v>
      </c>
      <c r="EC41" s="5">
        <v>0</v>
      </c>
      <c r="ED41" s="5">
        <v>0</v>
      </c>
      <c r="EE41" s="5">
        <v>0</v>
      </c>
      <c r="EF41" s="36">
        <f>VLOOKUP($A41,'[6]Updated (2)'!$A$2:$Q$54,2,FALSE)</f>
        <v>716051</v>
      </c>
      <c r="EG41" s="36">
        <f>VLOOKUP($A41,'[6]Updated (2)'!$A$2:$Q$54,3,FALSE)</f>
        <v>0</v>
      </c>
      <c r="EH41" s="36">
        <f>VLOOKUP($A41,'[6]Updated (2)'!$A$2:$Q$54,4,FALSE)</f>
        <v>0</v>
      </c>
      <c r="EI41" s="36">
        <f>VLOOKUP($A41,'[6]Updated (2)'!$A$2:$Q$54,5,FALSE)</f>
        <v>0</v>
      </c>
      <c r="EJ41" s="48">
        <f>VLOOKUP($A41,'[6]Updated (2)'!$A$2:$Q$54,6,FALSE)</f>
        <v>689850.95</v>
      </c>
      <c r="EK41" s="48">
        <f>VLOOKUP($A41,'[6]Updated (2)'!$A$2:$Q$54,7,FALSE)</f>
        <v>0</v>
      </c>
      <c r="EL41" s="48">
        <f>VLOOKUP($A41,'[6]Updated (2)'!$A$2:$Q$54,8,FALSE)</f>
        <v>0</v>
      </c>
      <c r="EM41" s="48">
        <f>VLOOKUP($A41,'[6]Updated (2)'!$A$2:$Q$54,9,FALSE)</f>
        <v>0</v>
      </c>
      <c r="EN41" s="36">
        <f>VLOOKUP($A41,'[6]Updated (2)'!$A$2:$Q$54,10,FALSE)</f>
        <v>579952</v>
      </c>
      <c r="EO41" s="36">
        <f>VLOOKUP($A41,'[6]Updated (2)'!$A$2:$Q$54,11,FALSE)</f>
        <v>0</v>
      </c>
      <c r="EP41" s="36">
        <f>VLOOKUP($A41,'[6]Updated (2)'!$A$2:$Q$54,12,FALSE)</f>
        <v>0</v>
      </c>
      <c r="EQ41" s="36">
        <f>VLOOKUP($A41,'[6]Updated (2)'!$A$2:$Q$54,13,FALSE)</f>
        <v>0</v>
      </c>
      <c r="ER41" s="48">
        <f>VLOOKUP($A41,'[6]Updated (2)'!$A$2:$Q$54,14,FALSE)</f>
        <v>518849</v>
      </c>
      <c r="ES41" s="48">
        <f>VLOOKUP($A41,'[6]Updated (2)'!$A$2:$Q$54,15,FALSE)</f>
        <v>0</v>
      </c>
      <c r="ET41" s="48">
        <f>VLOOKUP($A41,'[6]Updated (2)'!$A$2:$Q$54,16,FALSE)</f>
        <v>0</v>
      </c>
      <c r="EU41" s="48">
        <f>VLOOKUP($A41,'[6]Updated (2)'!$A$2:$Q$54,17,FALSE)</f>
        <v>0</v>
      </c>
      <c r="EV41" s="37">
        <f>VLOOKUP($A41,[7]Totals!$A41:$F92,3,FALSE)-SUM(EF41:EI41)</f>
        <v>22103306.140000012</v>
      </c>
      <c r="EW41" s="37">
        <f>VLOOKUP($A41,[7]Totals!$A41:$F92,4,FALSE)-SUM(EJ41:EM41)</f>
        <v>22895320.310000028</v>
      </c>
      <c r="EX41" s="37">
        <f>VLOOKUP($A41,[7]Totals!$A41:$F92,5,FALSE)-SUM(EN41:EQ41)</f>
        <v>26692306.46000002</v>
      </c>
      <c r="EY41" s="37">
        <f>VLOOKUP($A41,[7]Totals!$A41:$F92,6,FALSE)-SUM(ER41:EU41)</f>
        <v>29365040.269999966</v>
      </c>
      <c r="EZ41" s="52">
        <f t="shared" si="22"/>
        <v>22463.394351453815</v>
      </c>
      <c r="FA41" s="52">
        <f t="shared" si="23"/>
        <v>22911.587537151408</v>
      </c>
      <c r="FB41" s="52">
        <f t="shared" si="24"/>
        <v>26275.317176410383</v>
      </c>
      <c r="FC41" s="52">
        <f t="shared" si="25"/>
        <v>29160.33472026372</v>
      </c>
      <c r="FD41" s="37">
        <f>VLOOKUP($A41,[8]Totals!$A$2:$F$54,3)-SUM(EF41:EI41)</f>
        <v>22077182.569999993</v>
      </c>
      <c r="FE41" s="37">
        <f>VLOOKUP($A41,[8]Totals!$A$2:$F$54,4)-SUM(EJ41:EM41)</f>
        <v>22881213.930000026</v>
      </c>
      <c r="FF41" s="37">
        <f>VLOOKUP($A41,[8]Totals!$A$2:$F$54,5)-SUM(EN41:EQ41)</f>
        <v>26692306.460000023</v>
      </c>
      <c r="FG41" s="37">
        <f>VLOOKUP($A41,[8]Totals!$A$2:$F$54,6)-SUM(ER41:EU41)</f>
        <v>28982191.269999973</v>
      </c>
      <c r="FH41" s="52">
        <f t="shared" si="26"/>
        <v>22436.845198532468</v>
      </c>
      <c r="FI41" s="52">
        <f t="shared" si="27"/>
        <v>22897.471134505526</v>
      </c>
      <c r="FJ41" s="52">
        <f t="shared" si="28"/>
        <v>26275.317176410386</v>
      </c>
      <c r="FK41" s="52">
        <f t="shared" si="29"/>
        <v>28780.15458481458</v>
      </c>
      <c r="FL41" s="37">
        <f>VLOOKUP($A41,[9]Totals!$A$3:$F$54,3)-SUM(EF41:EI41)</f>
        <v>20912668.109999992</v>
      </c>
      <c r="FM41" s="37">
        <f>VLOOKUP($A41,[9]Totals!$A$3:$F$54,4)-SUM(EJ41:EM41)</f>
        <v>20683778.569999993</v>
      </c>
      <c r="FN41" s="37">
        <f>VLOOKUP($A41,[9]Totals!$A$3:$F$54,5)-SUM(EN41:EQ41)</f>
        <v>23194722.66000003</v>
      </c>
      <c r="FO41" s="37">
        <f>VLOOKUP($A41,[9]Totals!$A$3:$F$54,6)-SUM(ER41:EU41)</f>
        <v>24992254.50999999</v>
      </c>
      <c r="FP41" s="52">
        <f t="shared" si="30"/>
        <v>21253.359462178716</v>
      </c>
      <c r="FQ41" s="52">
        <f t="shared" si="31"/>
        <v>20698.474486885683</v>
      </c>
      <c r="FR41" s="52">
        <f t="shared" si="32"/>
        <v>22832.372902044579</v>
      </c>
      <c r="FS41" s="52">
        <f t="shared" si="33"/>
        <v>24818.031925880314</v>
      </c>
      <c r="FT41" s="37">
        <f>VLOOKUP($A41,[10]Calculations!$AF$3:$AJ$54,2,FALSE)-EI41</f>
        <v>3729793.3399999994</v>
      </c>
      <c r="FU41" s="37">
        <f>VLOOKUP($A41,[10]Calculations!$AF$3:$AJ$54,3,FALSE)-EM41</f>
        <v>3765403.2399999998</v>
      </c>
      <c r="FV41" s="37">
        <f>VLOOKUP($A41,[10]Calculations!$AF$3:$AJ$54,4,FALSE)-EQ41</f>
        <v>3933378.42</v>
      </c>
      <c r="FW41" s="37">
        <f>VLOOKUP($A41,[10]Calculations!$AF$3:$AJ$54,5,FALSE)-EU41</f>
        <v>4314027.9445161289</v>
      </c>
      <c r="FX41" s="52">
        <f t="shared" si="34"/>
        <v>31608.418135593216</v>
      </c>
      <c r="FY41" s="52">
        <f t="shared" si="35"/>
        <v>31910.196949152541</v>
      </c>
      <c r="FZ41" s="52">
        <f t="shared" si="36"/>
        <v>31720.793709677419</v>
      </c>
      <c r="GA41" s="52">
        <f t="shared" si="37"/>
        <v>31720.793709677419</v>
      </c>
    </row>
    <row r="42" spans="1:183" ht="15.75" x14ac:dyDescent="0.25">
      <c r="A42" s="66" t="s">
        <v>308</v>
      </c>
      <c r="B42" s="66" t="s">
        <v>309</v>
      </c>
      <c r="C42" s="67">
        <v>2</v>
      </c>
      <c r="D42" s="68" t="s">
        <v>299</v>
      </c>
      <c r="E42">
        <v>4</v>
      </c>
      <c r="F42" s="27">
        <v>1254</v>
      </c>
      <c r="G42" s="27">
        <v>1204</v>
      </c>
      <c r="H42" s="27">
        <v>1195</v>
      </c>
      <c r="I42" s="27">
        <v>1186</v>
      </c>
      <c r="J42" s="23">
        <v>128</v>
      </c>
      <c r="K42" s="23">
        <v>121</v>
      </c>
      <c r="L42" s="23">
        <v>114</v>
      </c>
      <c r="M42" s="23">
        <v>91</v>
      </c>
      <c r="N42" s="27">
        <v>1126</v>
      </c>
      <c r="O42" s="27">
        <v>1083</v>
      </c>
      <c r="P42" s="27">
        <v>1081</v>
      </c>
      <c r="Q42" s="27">
        <v>1095</v>
      </c>
      <c r="R42" s="25">
        <f>VLOOKUP($A42,'ADM, LTADM'!$B:$L,2,FALSE)</f>
        <v>1416.87</v>
      </c>
      <c r="S42" s="25">
        <f>VLOOKUP($A42,'ADM, LTADM'!$B:$L,3,FALSE)</f>
        <v>1416.62</v>
      </c>
      <c r="T42" s="25">
        <f>VLOOKUP($A42,'ADM, LTADM'!$B:$L,4,FALSE)</f>
        <v>1351.11</v>
      </c>
      <c r="U42" s="25">
        <f>VLOOKUP($A42,'ADM, LTADM'!$B:$L,5,FALSE)</f>
        <v>1353.12</v>
      </c>
      <c r="V42" s="29">
        <f>VLOOKUP($A42,'ADM, LTADM'!$B:$L,7,FALSE)</f>
        <v>1380.01</v>
      </c>
      <c r="W42" s="29">
        <f>VLOOKUP($A42,'ADM, LTADM'!$B:$L,8,FALSE)</f>
        <v>1420.84</v>
      </c>
      <c r="X42" s="29">
        <f>VLOOKUP($A42,'ADM, LTADM'!$B:$L,9,FALSE)</f>
        <v>1386.12</v>
      </c>
      <c r="Y42" s="29">
        <f>VLOOKUP($A42,'ADM, LTADM'!$B:$L,10,FALSE)</f>
        <v>1360.57</v>
      </c>
      <c r="Z42" s="10">
        <v>1416.35</v>
      </c>
      <c r="AA42" s="10">
        <v>1394.75</v>
      </c>
      <c r="AB42" s="10">
        <v>1408.98</v>
      </c>
      <c r="AC42" s="10">
        <v>1394.01</v>
      </c>
      <c r="AD42" s="2">
        <v>0.38146167557932265</v>
      </c>
      <c r="AE42" s="2">
        <v>0.35741088180112568</v>
      </c>
      <c r="AF42" s="2">
        <v>0.37129629629629629</v>
      </c>
      <c r="AG42" s="2">
        <v>0.32850678733031674</v>
      </c>
      <c r="AH42" s="2">
        <f t="shared" si="0"/>
        <v>0.37005628455891487</v>
      </c>
      <c r="AI42" s="46">
        <f>VLOOKUP(A42,'[1]SU_SD IDEA 3-21'!$A:$B,2,FALSE)</f>
        <v>279</v>
      </c>
      <c r="AJ42" s="46">
        <f>VLOOKUP(A42,'[2]SU_SD IDEA 3-21'!$A:$B,2,FALSE)</f>
        <v>259</v>
      </c>
      <c r="AK42" s="46">
        <f>VLOOKUP(A42,'[3]SU_SD IDEA 3-21'!$A:$B,2,FALSE)</f>
        <v>267</v>
      </c>
      <c r="AL42" s="46">
        <f>VLOOKUP($A42,'[4]SU_SD IDEA 3-21'!$A:$B,2,FALSE)</f>
        <v>263</v>
      </c>
      <c r="AM42" s="22">
        <f t="shared" si="18"/>
        <v>0.19691291367591948</v>
      </c>
      <c r="AN42" s="22">
        <f t="shared" si="19"/>
        <v>0.18282955203230225</v>
      </c>
      <c r="AO42" s="22">
        <f t="shared" si="20"/>
        <v>0.19761529409152476</v>
      </c>
      <c r="AP42" s="22">
        <f t="shared" si="21"/>
        <v>0.19436561428402507</v>
      </c>
      <c r="AQ42" s="26">
        <v>0</v>
      </c>
      <c r="AR42" s="26">
        <v>0</v>
      </c>
      <c r="AS42" s="26" t="s">
        <v>222</v>
      </c>
      <c r="AT42" s="26" t="s">
        <v>222</v>
      </c>
      <c r="AU42" s="2">
        <v>0.51428571428571423</v>
      </c>
      <c r="AV42" s="2">
        <v>0.45907473309608543</v>
      </c>
      <c r="AW42" s="2">
        <v>0.59649122807017541</v>
      </c>
      <c r="AX42" s="2">
        <v>0.49770290964777947</v>
      </c>
      <c r="AY42" s="2">
        <v>0.39047619047619048</v>
      </c>
      <c r="AZ42" s="2">
        <v>0.35943060498220641</v>
      </c>
      <c r="BA42" s="2">
        <v>0.33333333333333331</v>
      </c>
      <c r="BB42" s="2">
        <v>0.37212863705972438</v>
      </c>
      <c r="BC42" s="2">
        <v>0.45901639344262296</v>
      </c>
      <c r="BD42" s="2">
        <v>0.56190476190476191</v>
      </c>
      <c r="BE42" s="2" t="s">
        <v>222</v>
      </c>
      <c r="BF42" s="8">
        <v>0.5</v>
      </c>
      <c r="BG42" s="2">
        <v>0.28415300546448086</v>
      </c>
      <c r="BH42" s="2">
        <v>0.50961538461538458</v>
      </c>
      <c r="BI42" s="2" t="s">
        <v>222</v>
      </c>
      <c r="BJ42" s="8">
        <v>0.37</v>
      </c>
      <c r="BK42" s="31">
        <f>VLOOKUP($A42,[5]FY20!$W:$AF,7,FALSE)</f>
        <v>13.49911190053286</v>
      </c>
      <c r="BL42" s="31">
        <f>VLOOKUP($A42,[5]FY20!$W:$AF,8,FALSE)</f>
        <v>1.5373001776198936</v>
      </c>
      <c r="BM42" s="31">
        <f>VLOOKUP($A42,[5]FY20!$W:$AF,9,FALSE)</f>
        <v>2.2912966252220244</v>
      </c>
      <c r="BN42" s="31">
        <f>VLOOKUP($A42,[5]FY20!$W:$AF,10,FALSE)</f>
        <v>7.2406749555950265</v>
      </c>
      <c r="BO42" s="55">
        <f>VLOOKUP($A42,[5]FY21!$W:$AF,7,FALSE)</f>
        <v>11.09510618651893</v>
      </c>
      <c r="BP42" s="55">
        <f>VLOOKUP($A42,[5]FY21!$W:$AF,8,FALSE)</f>
        <v>1.10803324099723</v>
      </c>
      <c r="BQ42" s="55">
        <f>VLOOKUP($A42,[5]FY21!$W:$AF,9,FALSE)</f>
        <v>2.3370267774699909</v>
      </c>
      <c r="BR42" s="55">
        <f>VLOOKUP($A42,[5]FY21!$W:$AF,10,FALSE)</f>
        <v>8.2446906740535528</v>
      </c>
      <c r="BS42" s="31">
        <f>VLOOKUP($A42,[5]FY22!$W:$AF,7,FALSE)</f>
        <v>11.584643848288621</v>
      </c>
      <c r="BT42" s="31">
        <f>VLOOKUP($A42,[5]FY22!$W:$AF,8,FALSE)</f>
        <v>1.2950971322849214</v>
      </c>
      <c r="BU42" s="31">
        <f>VLOOKUP($A42,[5]FY22!$W:$AF,9,FALSE)</f>
        <v>1.9888991674375578</v>
      </c>
      <c r="BV42" s="31">
        <f>VLOOKUP($A42,[5]FY22!$W:$AF,10,FALSE)</f>
        <v>9.2109158186864004</v>
      </c>
      <c r="BW42" s="55">
        <f>VLOOKUP($A42,[5]FY23!$W:$AF,7,FALSE)</f>
        <v>11.200000000000001</v>
      </c>
      <c r="BX42" s="55">
        <f>VLOOKUP($A42,[5]FY23!$W:$AF,8,FALSE)</f>
        <v>1.5525114155251141</v>
      </c>
      <c r="BY42" s="55">
        <f>VLOOKUP($A42,[5]FY23!$W:$AF,9,FALSE)</f>
        <v>1.7936073059360731</v>
      </c>
      <c r="BZ42" s="55">
        <f>VLOOKUP($A42,[5]FY23!$W:$AF,10,FALSE)</f>
        <v>10.382648401826483</v>
      </c>
      <c r="CA42" s="37">
        <f>VLOOKUP($A42,[5]FY20!$W:$AF,3,FALSE)</f>
        <v>54792.793914473681</v>
      </c>
      <c r="CB42" s="37">
        <f>VLOOKUP($A42,[5]FY20!$W:$AF,4,FALSE)</f>
        <v>75172.849220103977</v>
      </c>
      <c r="CC42" s="37">
        <f>VLOOKUP($A42,[5]FY20!$W:$AF,5,FALSE)</f>
        <v>50477.817829457366</v>
      </c>
      <c r="CD42" s="37">
        <f>VLOOKUP($A42,[5]FY20!$W:$AF,6,FALSE)</f>
        <v>42426.961609223581</v>
      </c>
      <c r="CE42" s="52">
        <f>VLOOKUP($A42,[5]FY21!$W:$AF,3,FALSE)</f>
        <v>58068.250166444734</v>
      </c>
      <c r="CF42" s="52">
        <f>VLOOKUP($A42,[5]FY21!$W:$AF,4,FALSE)</f>
        <v>81641.241666666654</v>
      </c>
      <c r="CG42" s="52">
        <f>VLOOKUP($A42,[5]FY21!$W:$AF,5,FALSE)</f>
        <v>52443.656657447646</v>
      </c>
      <c r="CH42" s="52">
        <f>VLOOKUP($A42,[5]FY21!$W:$AF,6,FALSE)</f>
        <v>43097.117706350087</v>
      </c>
      <c r="CI42" s="37">
        <f>VLOOKUP($A42,[5]FY22!$W:$AF,3,FALSE)</f>
        <v>64377.774814341617</v>
      </c>
      <c r="CJ42" s="37">
        <f>VLOOKUP($A42,[5]FY22!$W:$AF,4,FALSE)</f>
        <v>94087.735000000001</v>
      </c>
      <c r="CK42" s="37">
        <f>VLOOKUP($A42,[5]FY22!$W:$AF,5,FALSE)</f>
        <v>58173.37674418604</v>
      </c>
      <c r="CL42" s="37">
        <f>VLOOKUP($A42,[5]FY22!$W:$AF,6,FALSE)</f>
        <v>42447.305413277099</v>
      </c>
      <c r="CM42" s="52">
        <f>VLOOKUP($A42,[5]FY23!$W:$AF,3,FALSE)</f>
        <v>65882.177592954991</v>
      </c>
      <c r="CN42" s="52">
        <f>VLOOKUP($A42,[5]FY23!$W:$AF,4,FALSE)</f>
        <v>86554.627058823535</v>
      </c>
      <c r="CO42" s="52">
        <f>VLOOKUP($A42,[5]FY23!$W:$AF,5,FALSE)</f>
        <v>60227.378818737256</v>
      </c>
      <c r="CP42" s="52">
        <f>VLOOKUP($A42,[5]FY23!$W:$AF,6,FALSE)</f>
        <v>44753.824874659163</v>
      </c>
      <c r="CQ42" s="5">
        <v>0.76100000000000001</v>
      </c>
      <c r="CR42" s="4">
        <v>0.79600000000000004</v>
      </c>
      <c r="CS42" s="4">
        <v>0.79400000000000004</v>
      </c>
      <c r="CT42" s="4">
        <v>0.79600000000000004</v>
      </c>
      <c r="CU42" s="4">
        <v>0.70599999999999996</v>
      </c>
      <c r="CV42" s="4">
        <v>0.86799999999999999</v>
      </c>
      <c r="CW42" s="4">
        <v>0.86399999999999999</v>
      </c>
      <c r="CX42" s="4">
        <v>0.76800000000000002</v>
      </c>
      <c r="CY42" t="s">
        <v>223</v>
      </c>
      <c r="CZ42" t="s">
        <v>223</v>
      </c>
      <c r="DA42" t="s">
        <v>223</v>
      </c>
      <c r="DB42">
        <v>0</v>
      </c>
      <c r="DC42">
        <v>1</v>
      </c>
      <c r="DD42">
        <v>1</v>
      </c>
      <c r="DE42">
        <v>0</v>
      </c>
      <c r="DF42">
        <v>2</v>
      </c>
      <c r="DG42">
        <v>0</v>
      </c>
      <c r="DH42">
        <v>0</v>
      </c>
      <c r="DI42">
        <v>2</v>
      </c>
      <c r="DJ42">
        <v>0</v>
      </c>
      <c r="DK42">
        <v>2</v>
      </c>
      <c r="DL42">
        <v>0</v>
      </c>
      <c r="DM42">
        <v>1</v>
      </c>
      <c r="DN42">
        <v>0</v>
      </c>
      <c r="DO42">
        <v>1</v>
      </c>
      <c r="DP42">
        <v>0</v>
      </c>
      <c r="DQ42" s="5">
        <v>0</v>
      </c>
      <c r="DR42" s="5">
        <v>0.25</v>
      </c>
      <c r="DS42" s="5">
        <v>0.25</v>
      </c>
      <c r="DT42" s="5">
        <v>0</v>
      </c>
      <c r="DU42" s="5">
        <v>0.5</v>
      </c>
      <c r="DV42" s="5">
        <v>0</v>
      </c>
      <c r="DW42" s="5">
        <v>0</v>
      </c>
      <c r="DX42" s="5">
        <v>0.5</v>
      </c>
      <c r="DY42" s="5">
        <v>0</v>
      </c>
      <c r="DZ42" s="5">
        <v>0.5</v>
      </c>
      <c r="EA42" s="5">
        <v>0</v>
      </c>
      <c r="EB42" s="5">
        <v>0.25</v>
      </c>
      <c r="EC42" s="5">
        <v>0</v>
      </c>
      <c r="ED42" s="5">
        <v>0.25</v>
      </c>
      <c r="EE42" s="5">
        <v>0</v>
      </c>
      <c r="EF42" s="36">
        <f>VLOOKUP($A42,'[6]Updated (2)'!$A$2:$Q$54,2,FALSE)</f>
        <v>968805.71</v>
      </c>
      <c r="EG42" s="36">
        <f>VLOOKUP($A42,'[6]Updated (2)'!$A$2:$Q$54,3,FALSE)</f>
        <v>0</v>
      </c>
      <c r="EH42" s="36">
        <f>VLOOKUP($A42,'[6]Updated (2)'!$A$2:$Q$54,4,FALSE)</f>
        <v>0</v>
      </c>
      <c r="EI42" s="36">
        <f>VLOOKUP($A42,'[6]Updated (2)'!$A$2:$Q$54,5,FALSE)</f>
        <v>0</v>
      </c>
      <c r="EJ42" s="48">
        <f>VLOOKUP($A42,'[6]Updated (2)'!$A$2:$Q$54,6,FALSE)</f>
        <v>1009158.28</v>
      </c>
      <c r="EK42" s="48">
        <f>VLOOKUP($A42,'[6]Updated (2)'!$A$2:$Q$54,7,FALSE)</f>
        <v>0</v>
      </c>
      <c r="EL42" s="48">
        <f>VLOOKUP($A42,'[6]Updated (2)'!$A$2:$Q$54,8,FALSE)</f>
        <v>0</v>
      </c>
      <c r="EM42" s="48">
        <f>VLOOKUP($A42,'[6]Updated (2)'!$A$2:$Q$54,9,FALSE)</f>
        <v>0</v>
      </c>
      <c r="EN42" s="36">
        <f>VLOOKUP($A42,'[6]Updated (2)'!$A$2:$Q$54,10,FALSE)</f>
        <v>1004256.94</v>
      </c>
      <c r="EO42" s="36">
        <f>VLOOKUP($A42,'[6]Updated (2)'!$A$2:$Q$54,11,FALSE)</f>
        <v>0</v>
      </c>
      <c r="EP42" s="36">
        <f>VLOOKUP($A42,'[6]Updated (2)'!$A$2:$Q$54,12,FALSE)</f>
        <v>70706.16</v>
      </c>
      <c r="EQ42" s="36">
        <f>VLOOKUP($A42,'[6]Updated (2)'!$A$2:$Q$54,13,FALSE)</f>
        <v>0</v>
      </c>
      <c r="ER42" s="48">
        <f>VLOOKUP($A42,'[6]Updated (2)'!$A$2:$Q$54,14,FALSE)</f>
        <v>1027566</v>
      </c>
      <c r="ES42" s="48">
        <f>VLOOKUP($A42,'[6]Updated (2)'!$A$2:$Q$54,15,FALSE)</f>
        <v>110776</v>
      </c>
      <c r="ET42" s="48">
        <f>VLOOKUP($A42,'[6]Updated (2)'!$A$2:$Q$54,16,FALSE)</f>
        <v>0</v>
      </c>
      <c r="EU42" s="48">
        <f>VLOOKUP($A42,'[6]Updated (2)'!$A$2:$Q$54,17,FALSE)</f>
        <v>0</v>
      </c>
      <c r="EV42" s="37">
        <f>VLOOKUP($A42,[7]Totals!$A42:$F93,3,FALSE)-SUM(EF42:EI42)</f>
        <v>33405033.250000022</v>
      </c>
      <c r="EW42" s="37">
        <f>VLOOKUP($A42,[7]Totals!$A42:$F93,4,FALSE)-SUM(EJ42:EM42)</f>
        <v>32753735.650000013</v>
      </c>
      <c r="EX42" s="37">
        <f>VLOOKUP($A42,[7]Totals!$A42:$F93,5,FALSE)-SUM(EN42:EQ42)</f>
        <v>33861755.040000059</v>
      </c>
      <c r="EY42" s="37">
        <f>VLOOKUP($A42,[7]Totals!$A42:$F93,6,FALSE)-SUM(ER42:EU42)</f>
        <v>37643088.290000089</v>
      </c>
      <c r="EZ42" s="52">
        <f t="shared" si="22"/>
        <v>24206.370424852012</v>
      </c>
      <c r="FA42" s="52">
        <f t="shared" si="23"/>
        <v>23052.374405281393</v>
      </c>
      <c r="FB42" s="52">
        <f t="shared" si="24"/>
        <v>24429.165613366851</v>
      </c>
      <c r="FC42" s="52">
        <f t="shared" si="25"/>
        <v>27667.145600740932</v>
      </c>
      <c r="FD42" s="37">
        <f>VLOOKUP($A42,[8]Totals!$A$2:$F$54,3)-SUM(EF42:EI42)</f>
        <v>31118360.900000013</v>
      </c>
      <c r="FE42" s="37">
        <f>VLOOKUP($A42,[8]Totals!$A$2:$F$54,4)-SUM(EJ42:EM42)</f>
        <v>31136802.650000032</v>
      </c>
      <c r="FF42" s="37">
        <f>VLOOKUP($A42,[8]Totals!$A$2:$F$54,5)-SUM(EN42:EQ42)</f>
        <v>31856471.840000033</v>
      </c>
      <c r="FG42" s="37">
        <f>VLOOKUP($A42,[8]Totals!$A$2:$F$54,6)-SUM(ER42:EU42)</f>
        <v>36027469.409999989</v>
      </c>
      <c r="FH42" s="52">
        <f t="shared" si="26"/>
        <v>22549.37348280086</v>
      </c>
      <c r="FI42" s="52">
        <f t="shared" si="27"/>
        <v>21914.362384223441</v>
      </c>
      <c r="FJ42" s="52">
        <f t="shared" si="28"/>
        <v>22982.477592127692</v>
      </c>
      <c r="FK42" s="52">
        <f t="shared" si="29"/>
        <v>26479.688226258106</v>
      </c>
      <c r="FL42" s="37">
        <f>VLOOKUP($A42,[9]Totals!$A$3:$F$54,3)-SUM(EF42:EI42)</f>
        <v>28359308.820000011</v>
      </c>
      <c r="FM42" s="37">
        <f>VLOOKUP($A42,[9]Totals!$A$3:$F$54,4)-SUM(EJ42:EM42)</f>
        <v>26998785.460000031</v>
      </c>
      <c r="FN42" s="37">
        <f>VLOOKUP($A42,[9]Totals!$A$3:$F$54,5)-SUM(EN42:EQ42)</f>
        <v>28536676.299999997</v>
      </c>
      <c r="FO42" s="37">
        <f>VLOOKUP($A42,[9]Totals!$A$3:$F$54,6)-SUM(ER42:EU42)</f>
        <v>31126435.050000004</v>
      </c>
      <c r="FP42" s="52">
        <f t="shared" si="30"/>
        <v>20550.074869022697</v>
      </c>
      <c r="FQ42" s="52">
        <f t="shared" si="31"/>
        <v>19001.988584217808</v>
      </c>
      <c r="FR42" s="52">
        <f t="shared" si="32"/>
        <v>20587.450076472454</v>
      </c>
      <c r="FS42" s="52">
        <f t="shared" si="33"/>
        <v>22877.496233196387</v>
      </c>
      <c r="FT42" s="37">
        <f>VLOOKUP($A42,[10]Calculations!$AF$3:$AJ$54,2,FALSE)-EI42</f>
        <v>7702113.9699999997</v>
      </c>
      <c r="FU42" s="37">
        <f>VLOOKUP($A42,[10]Calculations!$AF$3:$AJ$54,3,FALSE)-EM42</f>
        <v>7525082.7700000005</v>
      </c>
      <c r="FV42" s="37">
        <f>VLOOKUP($A42,[10]Calculations!$AF$3:$AJ$54,4,FALSE)-EQ42</f>
        <v>7955542.0600000005</v>
      </c>
      <c r="FW42" s="37">
        <f>VLOOKUP($A42,[10]Calculations!$AF$3:$AJ$54,5,FALSE)-EU42</f>
        <v>7836357.9092883896</v>
      </c>
      <c r="FX42" s="52">
        <f t="shared" si="34"/>
        <v>27606.143261648744</v>
      </c>
      <c r="FY42" s="52">
        <f t="shared" si="35"/>
        <v>29054.37362934363</v>
      </c>
      <c r="FZ42" s="52">
        <f t="shared" si="36"/>
        <v>29796.037677902623</v>
      </c>
      <c r="GA42" s="52">
        <f t="shared" si="37"/>
        <v>29796.037677902623</v>
      </c>
    </row>
    <row r="43" spans="1:183" ht="15.75" x14ac:dyDescent="0.25">
      <c r="A43" s="66" t="s">
        <v>310</v>
      </c>
      <c r="B43" s="66" t="s">
        <v>311</v>
      </c>
      <c r="C43" s="67">
        <v>3</v>
      </c>
      <c r="D43" s="68" t="s">
        <v>299</v>
      </c>
      <c r="E43">
        <v>5</v>
      </c>
      <c r="F43" s="27">
        <v>1528</v>
      </c>
      <c r="G43" s="27">
        <v>1426</v>
      </c>
      <c r="H43" s="27">
        <v>1475</v>
      </c>
      <c r="I43" s="27">
        <v>1460</v>
      </c>
      <c r="J43" s="23">
        <v>137</v>
      </c>
      <c r="K43" s="23">
        <v>107</v>
      </c>
      <c r="L43" s="23">
        <v>133</v>
      </c>
      <c r="M43" s="23">
        <v>120</v>
      </c>
      <c r="N43" s="27">
        <v>1389</v>
      </c>
      <c r="O43" s="27">
        <v>1315</v>
      </c>
      <c r="P43" s="27">
        <v>1338</v>
      </c>
      <c r="Q43" s="27">
        <v>1335</v>
      </c>
      <c r="R43" s="25">
        <f>VLOOKUP($A43,'ADM, LTADM'!$B:$L,2,FALSE)</f>
        <v>1368.3899999999999</v>
      </c>
      <c r="S43" s="25">
        <f>VLOOKUP($A43,'ADM, LTADM'!$B:$L,3,FALSE)</f>
        <v>1368.82</v>
      </c>
      <c r="T43" s="25">
        <f>VLOOKUP($A43,'ADM, LTADM'!$B:$L,4,FALSE)</f>
        <v>1328.4699999999998</v>
      </c>
      <c r="U43" s="25">
        <f>VLOOKUP($A43,'ADM, LTADM'!$B:$L,5,FALSE)</f>
        <v>1300.3500000000001</v>
      </c>
      <c r="V43" s="29">
        <f>VLOOKUP($A43,'ADM, LTADM'!$B:$L,7,FALSE)</f>
        <v>1391.98</v>
      </c>
      <c r="W43" s="29">
        <f>VLOOKUP($A43,'ADM, LTADM'!$B:$L,8,FALSE)</f>
        <v>1369.99</v>
      </c>
      <c r="X43" s="29">
        <f>VLOOKUP($A43,'ADM, LTADM'!$B:$L,9,FALSE)</f>
        <v>1350.25</v>
      </c>
      <c r="Y43" s="29">
        <f>VLOOKUP($A43,'ADM, LTADM'!$B:$L,10,FALSE)</f>
        <v>1315.8</v>
      </c>
      <c r="Z43" s="10">
        <v>1411.17</v>
      </c>
      <c r="AA43" s="10">
        <v>1393.77</v>
      </c>
      <c r="AB43" s="10">
        <v>1372.4</v>
      </c>
      <c r="AC43" s="10">
        <v>1345.94</v>
      </c>
      <c r="AD43" s="2">
        <v>0.2964311726147123</v>
      </c>
      <c r="AE43" s="2">
        <v>0.28199233716475097</v>
      </c>
      <c r="AF43" s="2">
        <v>0.26920208799403428</v>
      </c>
      <c r="AG43" s="2">
        <v>0.27744360902255638</v>
      </c>
      <c r="AH43" s="2">
        <f t="shared" si="0"/>
        <v>0.28254186592449915</v>
      </c>
      <c r="AI43" s="46">
        <f>VLOOKUP(A43,'[1]SU_SD IDEA 3-21'!$A:$B,2,FALSE)</f>
        <v>306</v>
      </c>
      <c r="AJ43" s="46">
        <f>VLOOKUP(A43,'[2]SU_SD IDEA 3-21'!$A:$B,2,FALSE)</f>
        <v>251</v>
      </c>
      <c r="AK43" s="46">
        <f>VLOOKUP(A43,'[3]SU_SD IDEA 3-21'!$A:$B,2,FALSE)</f>
        <v>251</v>
      </c>
      <c r="AL43" s="46">
        <f>VLOOKUP($A43,'[4]SU_SD IDEA 3-21'!$A:$B,2,FALSE)</f>
        <v>248</v>
      </c>
      <c r="AM43" s="22">
        <f t="shared" si="18"/>
        <v>0.22362045907964836</v>
      </c>
      <c r="AN43" s="22">
        <f t="shared" si="19"/>
        <v>0.1833696176268611</v>
      </c>
      <c r="AO43" s="22">
        <f t="shared" si="20"/>
        <v>0.1889391555699414</v>
      </c>
      <c r="AP43" s="22">
        <f t="shared" si="21"/>
        <v>0.19071788364671047</v>
      </c>
      <c r="AQ43" s="26">
        <v>1.2381646030589949E-2</v>
      </c>
      <c r="AR43" s="26">
        <v>1.3793103448275862E-2</v>
      </c>
      <c r="AS43" s="26">
        <v>1.4914243102162566E-2</v>
      </c>
      <c r="AT43" s="26">
        <v>1.6541353383458645E-2</v>
      </c>
      <c r="AU43" s="2">
        <v>0.62277580071174377</v>
      </c>
      <c r="AV43" s="2">
        <v>0.54575163398692805</v>
      </c>
      <c r="AW43" s="2">
        <v>0.390625</v>
      </c>
      <c r="AX43" s="2">
        <v>0.54825174825174827</v>
      </c>
      <c r="AY43" s="2">
        <v>0.61209964412811391</v>
      </c>
      <c r="AZ43" s="2">
        <v>0.35504885993485341</v>
      </c>
      <c r="BA43" s="2">
        <v>0.2868217054263566</v>
      </c>
      <c r="BB43" s="2">
        <v>0.44351464435146443</v>
      </c>
      <c r="BC43" s="2" t="s">
        <v>222</v>
      </c>
      <c r="BD43" s="2">
        <v>0.56989247311827962</v>
      </c>
      <c r="BE43" s="2">
        <v>0.34166666666666667</v>
      </c>
      <c r="BF43" s="8">
        <v>0.44</v>
      </c>
      <c r="BG43" s="2" t="s">
        <v>222</v>
      </c>
      <c r="BH43" s="2">
        <v>0.52127659574468088</v>
      </c>
      <c r="BI43" s="2">
        <v>0.3</v>
      </c>
      <c r="BJ43" s="8">
        <v>0.4</v>
      </c>
      <c r="BK43" s="31">
        <f>VLOOKUP($A43,[5]FY20!$W:$AF,7,FALSE)</f>
        <v>11.594536304816678</v>
      </c>
      <c r="BL43" s="31">
        <f>VLOOKUP($A43,[5]FY20!$W:$AF,8,FALSE)</f>
        <v>1.3601725377426312</v>
      </c>
      <c r="BM43" s="31">
        <f>VLOOKUP($A43,[5]FY20!$W:$AF,9,FALSE)</f>
        <v>2.5485262401150255</v>
      </c>
      <c r="BN43" s="31">
        <f>VLOOKUP($A43,[5]FY20!$W:$AF,10,FALSE)</f>
        <v>3.1128684399712432</v>
      </c>
      <c r="BO43" s="55">
        <f>VLOOKUP($A43,[5]FY21!$W:$AF,7,FALSE)</f>
        <v>11.963608794541319</v>
      </c>
      <c r="BP43" s="55">
        <f>VLOOKUP($A43,[5]FY21!$W:$AF,8,FALSE)</f>
        <v>1.3980288097043216</v>
      </c>
      <c r="BQ43" s="55">
        <f>VLOOKUP($A43,[5]FY21!$W:$AF,9,FALSE)</f>
        <v>2.5989385898407886</v>
      </c>
      <c r="BR43" s="55">
        <f>VLOOKUP($A43,[5]FY21!$W:$AF,10,FALSE)</f>
        <v>4.1341925701288851</v>
      </c>
      <c r="BS43" s="31">
        <f>VLOOKUP($A43,[5]FY22!$W:$AF,7,FALSE)</f>
        <v>12.353204172876305</v>
      </c>
      <c r="BT43" s="31">
        <f>VLOOKUP($A43,[5]FY22!$W:$AF,8,FALSE)</f>
        <v>1.1922503725782414</v>
      </c>
      <c r="BU43" s="31">
        <f>VLOOKUP($A43,[5]FY22!$W:$AF,9,FALSE)</f>
        <v>2.8241430700447094</v>
      </c>
      <c r="BV43" s="31">
        <f>VLOOKUP($A43,[5]FY22!$W:$AF,10,FALSE)</f>
        <v>4.0685543964232487</v>
      </c>
      <c r="BW43" s="55">
        <f>VLOOKUP($A43,[5]FY23!$W:$AF,7,FALSE)</f>
        <v>11.817164179104477</v>
      </c>
      <c r="BX43" s="55">
        <f>VLOOKUP($A43,[5]FY23!$W:$AF,8,FALSE)</f>
        <v>1.3432835820895521</v>
      </c>
      <c r="BY43" s="55">
        <f>VLOOKUP($A43,[5]FY23!$W:$AF,9,FALSE)</f>
        <v>2.8059701492537314</v>
      </c>
      <c r="BZ43" s="55">
        <f>VLOOKUP($A43,[5]FY23!$W:$AF,10,FALSE)</f>
        <v>4.1649253731343281</v>
      </c>
      <c r="CA43" s="37">
        <f>VLOOKUP($A43,[5]FY20!$W:$AF,3,FALSE)</f>
        <v>61733.866567460318</v>
      </c>
      <c r="CB43" s="37">
        <f>VLOOKUP($A43,[5]FY20!$W:$AF,4,FALSE)</f>
        <v>91584.14376321352</v>
      </c>
      <c r="CC43" s="37">
        <f>VLOOKUP($A43,[5]FY20!$W:$AF,5,FALSE)</f>
        <v>59480.366713681236</v>
      </c>
      <c r="CD43" s="37">
        <f>VLOOKUP($A43,[5]FY20!$W:$AF,6,FALSE)</f>
        <v>48495.810392609703</v>
      </c>
      <c r="CE43" s="52">
        <f>VLOOKUP($A43,[5]FY21!$W:$AF,3,FALSE)</f>
        <v>61681.977186311786</v>
      </c>
      <c r="CF43" s="52">
        <f>VLOOKUP($A43,[5]FY21!$W:$AF,4,FALSE)</f>
        <v>94011.822125813444</v>
      </c>
      <c r="CG43" s="52">
        <f>VLOOKUP($A43,[5]FY21!$W:$AF,5,FALSE)</f>
        <v>60986.901983663942</v>
      </c>
      <c r="CH43" s="52">
        <f>VLOOKUP($A43,[5]FY21!$W:$AF,6,FALSE)</f>
        <v>53056.922794791855</v>
      </c>
      <c r="CI43" s="37">
        <f>VLOOKUP($A43,[5]FY22!$W:$AF,3,FALSE)</f>
        <v>60063.246471226928</v>
      </c>
      <c r="CJ43" s="37">
        <f>VLOOKUP($A43,[5]FY22!$W:$AF,4,FALSE)</f>
        <v>101220.5</v>
      </c>
      <c r="CK43" s="37">
        <f>VLOOKUP($A43,[5]FY22!$W:$AF,5,FALSE)</f>
        <v>60201.319261213721</v>
      </c>
      <c r="CL43" s="37">
        <f>VLOOKUP($A43,[5]FY22!$W:$AF,6,FALSE)</f>
        <v>53358.717948717946</v>
      </c>
      <c r="CM43" s="52">
        <f>VLOOKUP($A43,[5]FY23!$W:$AF,3,FALSE)</f>
        <v>62674.562677612885</v>
      </c>
      <c r="CN43" s="52">
        <f>VLOOKUP($A43,[5]FY23!$W:$AF,4,FALSE)</f>
        <v>94947.833333333328</v>
      </c>
      <c r="CO43" s="52">
        <f>VLOOKUP($A43,[5]FY23!$W:$AF,5,FALSE)</f>
        <v>64129.335106382976</v>
      </c>
      <c r="CP43" s="52">
        <f>VLOOKUP($A43,[5]FY23!$W:$AF,6,FALSE)</f>
        <v>55513.187600788391</v>
      </c>
      <c r="CQ43" s="5">
        <v>0.85199999999999998</v>
      </c>
      <c r="CR43" s="4">
        <v>0.92400000000000004</v>
      </c>
      <c r="CS43" s="4">
        <v>0.875</v>
      </c>
      <c r="CT43" s="4">
        <v>0.93899999999999995</v>
      </c>
      <c r="CU43" s="4">
        <v>0.84399999999999997</v>
      </c>
      <c r="CV43" s="4">
        <v>0.875</v>
      </c>
      <c r="CW43" s="4">
        <v>0.85099999999999998</v>
      </c>
      <c r="CX43" s="4">
        <v>0.88300000000000001</v>
      </c>
      <c r="CY43" t="s">
        <v>223</v>
      </c>
      <c r="CZ43" t="s">
        <v>223</v>
      </c>
      <c r="DA43" t="s">
        <v>223</v>
      </c>
      <c r="DB43">
        <v>0</v>
      </c>
      <c r="DC43">
        <v>2</v>
      </c>
      <c r="DD43">
        <v>3</v>
      </c>
      <c r="DE43">
        <v>0</v>
      </c>
      <c r="DF43">
        <v>0</v>
      </c>
      <c r="DG43">
        <v>0</v>
      </c>
      <c r="DH43">
        <v>2</v>
      </c>
      <c r="DI43">
        <v>3</v>
      </c>
      <c r="DJ43">
        <v>0</v>
      </c>
      <c r="DK43">
        <v>0</v>
      </c>
      <c r="DL43">
        <v>1</v>
      </c>
      <c r="DM43">
        <v>2</v>
      </c>
      <c r="DN43">
        <v>2</v>
      </c>
      <c r="DO43">
        <v>0</v>
      </c>
      <c r="DP43">
        <v>0</v>
      </c>
      <c r="DQ43" s="5">
        <v>0</v>
      </c>
      <c r="DR43" s="5">
        <v>0.4</v>
      </c>
      <c r="DS43" s="5">
        <v>0.6</v>
      </c>
      <c r="DT43" s="5">
        <v>0</v>
      </c>
      <c r="DU43" s="5">
        <v>0</v>
      </c>
      <c r="DV43" s="5">
        <v>0</v>
      </c>
      <c r="DW43" s="5">
        <v>0.4</v>
      </c>
      <c r="DX43" s="5">
        <v>0.6</v>
      </c>
      <c r="DY43" s="5">
        <v>0</v>
      </c>
      <c r="DZ43" s="5">
        <v>0</v>
      </c>
      <c r="EA43" s="5">
        <v>0.2</v>
      </c>
      <c r="EB43" s="5">
        <v>0.4</v>
      </c>
      <c r="EC43" s="5">
        <v>0.4</v>
      </c>
      <c r="ED43" s="5">
        <v>0</v>
      </c>
      <c r="EE43" s="5">
        <v>0</v>
      </c>
      <c r="EF43" s="36">
        <f>VLOOKUP($A43,'[6]Updated (2)'!$A$2:$Q$54,2,FALSE)</f>
        <v>0</v>
      </c>
      <c r="EG43" s="36">
        <f>VLOOKUP($A43,'[6]Updated (2)'!$A$2:$Q$54,3,FALSE)</f>
        <v>0</v>
      </c>
      <c r="EH43" s="36">
        <f>VLOOKUP($A43,'[6]Updated (2)'!$A$2:$Q$54,4,FALSE)</f>
        <v>0</v>
      </c>
      <c r="EI43" s="36">
        <f>VLOOKUP($A43,'[6]Updated (2)'!$A$2:$Q$54,5,FALSE)</f>
        <v>0</v>
      </c>
      <c r="EJ43" s="48">
        <f>VLOOKUP($A43,'[6]Updated (2)'!$A$2:$Q$54,6,FALSE)</f>
        <v>0</v>
      </c>
      <c r="EK43" s="48">
        <f>VLOOKUP($A43,'[6]Updated (2)'!$A$2:$Q$54,7,FALSE)</f>
        <v>0</v>
      </c>
      <c r="EL43" s="48">
        <f>VLOOKUP($A43,'[6]Updated (2)'!$A$2:$Q$54,8,FALSE)</f>
        <v>0</v>
      </c>
      <c r="EM43" s="48">
        <f>VLOOKUP($A43,'[6]Updated (2)'!$A$2:$Q$54,9,FALSE)</f>
        <v>0</v>
      </c>
      <c r="EN43" s="36">
        <f>VLOOKUP($A43,'[6]Updated (2)'!$A$2:$Q$54,10,FALSE)</f>
        <v>0</v>
      </c>
      <c r="EO43" s="36">
        <f>VLOOKUP($A43,'[6]Updated (2)'!$A$2:$Q$54,11,FALSE)</f>
        <v>0</v>
      </c>
      <c r="EP43" s="36">
        <f>VLOOKUP($A43,'[6]Updated (2)'!$A$2:$Q$54,12,FALSE)</f>
        <v>0</v>
      </c>
      <c r="EQ43" s="36">
        <f>VLOOKUP($A43,'[6]Updated (2)'!$A$2:$Q$54,13,FALSE)</f>
        <v>0</v>
      </c>
      <c r="ER43" s="48">
        <f>VLOOKUP($A43,'[6]Updated (2)'!$A$2:$Q$54,14,FALSE)</f>
        <v>0</v>
      </c>
      <c r="ES43" s="48">
        <f>VLOOKUP($A43,'[6]Updated (2)'!$A$2:$Q$54,15,FALSE)</f>
        <v>0</v>
      </c>
      <c r="ET43" s="48">
        <f>VLOOKUP($A43,'[6]Updated (2)'!$A$2:$Q$54,16,FALSE)</f>
        <v>0</v>
      </c>
      <c r="EU43" s="48">
        <f>VLOOKUP($A43,'[6]Updated (2)'!$A$2:$Q$54,17,FALSE)</f>
        <v>0</v>
      </c>
      <c r="EV43" s="37">
        <f>VLOOKUP($A43,[7]Totals!$A43:$F94,3,FALSE)-SUM(EF43:EI43)</f>
        <v>34342726</v>
      </c>
      <c r="EW43" s="37">
        <f>VLOOKUP($A43,[7]Totals!$A43:$F94,4,FALSE)-SUM(EJ43:EM43)</f>
        <v>36129446</v>
      </c>
      <c r="EX43" s="37">
        <f>VLOOKUP($A43,[7]Totals!$A43:$F94,5,FALSE)-SUM(EN43:EQ43)</f>
        <v>37715048.473000057</v>
      </c>
      <c r="EY43" s="37">
        <f>VLOOKUP($A43,[7]Totals!$A43:$F94,6,FALSE)-SUM(ER43:EU43)</f>
        <v>35763684.180000015</v>
      </c>
      <c r="EZ43" s="52">
        <f t="shared" si="22"/>
        <v>24671.853043865573</v>
      </c>
      <c r="FA43" s="52">
        <f t="shared" si="23"/>
        <v>26372.050890882416</v>
      </c>
      <c r="FB43" s="52">
        <f t="shared" si="24"/>
        <v>27931.900368820632</v>
      </c>
      <c r="FC43" s="52">
        <f t="shared" si="25"/>
        <v>27180.182535339729</v>
      </c>
      <c r="FD43" s="37">
        <f>VLOOKUP($A43,[8]Totals!$A$2:$F$54,3)-SUM(EF43:EI43)</f>
        <v>30918863</v>
      </c>
      <c r="FE43" s="37">
        <f>VLOOKUP($A43,[8]Totals!$A$2:$F$54,4)-SUM(EJ43:EM43)</f>
        <v>32647728</v>
      </c>
      <c r="FF43" s="37">
        <f>VLOOKUP($A43,[8]Totals!$A$2:$F$54,5)-SUM(EN43:EQ43)</f>
        <v>33762392.122999996</v>
      </c>
      <c r="FG43" s="37">
        <f>VLOOKUP($A43,[8]Totals!$A$2:$F$54,6)-SUM(ER43:EU43)</f>
        <v>35763684.18</v>
      </c>
      <c r="FH43" s="52">
        <f t="shared" si="26"/>
        <v>22212.146007844942</v>
      </c>
      <c r="FI43" s="52">
        <f t="shared" si="27"/>
        <v>23830.632340382046</v>
      </c>
      <c r="FJ43" s="52">
        <f t="shared" si="28"/>
        <v>25004.548878355858</v>
      </c>
      <c r="FK43" s="52">
        <f t="shared" si="29"/>
        <v>27180.182535339718</v>
      </c>
      <c r="FL43" s="37">
        <f>VLOOKUP($A43,[9]Totals!$A$3:$F$54,3)-SUM(EF43:EI43)</f>
        <v>29807442</v>
      </c>
      <c r="FM43" s="37">
        <f>VLOOKUP($A43,[9]Totals!$A$3:$F$54,4)-SUM(EJ43:EM43)</f>
        <v>30153463</v>
      </c>
      <c r="FN43" s="37">
        <f>VLOOKUP($A43,[9]Totals!$A$3:$F$54,5)-SUM(EN43:EQ43)</f>
        <v>31620207.793000039</v>
      </c>
      <c r="FO43" s="37">
        <f>VLOOKUP($A43,[9]Totals!$A$3:$F$54,6)-SUM(ER43:EU43)</f>
        <v>32907552</v>
      </c>
      <c r="FP43" s="52">
        <f t="shared" si="30"/>
        <v>21413.699909481456</v>
      </c>
      <c r="FQ43" s="52">
        <f t="shared" si="31"/>
        <v>22009.987664143533</v>
      </c>
      <c r="FR43" s="52">
        <f t="shared" si="32"/>
        <v>23418.039468987252</v>
      </c>
      <c r="FS43" s="52">
        <f t="shared" si="33"/>
        <v>25009.539443684451</v>
      </c>
      <c r="FT43" s="37">
        <f>VLOOKUP($A43,[10]Calculations!$AF$3:$AJ$54,2,FALSE)-EI43</f>
        <v>10550512</v>
      </c>
      <c r="FU43" s="37">
        <f>VLOOKUP($A43,[10]Calculations!$AF$3:$AJ$54,3,FALSE)-EM43</f>
        <v>10170292</v>
      </c>
      <c r="FV43" s="37">
        <f>VLOOKUP($A43,[10]Calculations!$AF$3:$AJ$54,4,FALSE)-EQ43</f>
        <v>11181856.890000001</v>
      </c>
      <c r="FW43" s="37">
        <f>VLOOKUP($A43,[10]Calculations!$AF$3:$AJ$54,5,FALSE)-EU43</f>
        <v>11048209.198087649</v>
      </c>
      <c r="FX43" s="52">
        <f t="shared" si="34"/>
        <v>34478.797385620914</v>
      </c>
      <c r="FY43" s="52">
        <f t="shared" si="35"/>
        <v>40519.091633466138</v>
      </c>
      <c r="FZ43" s="52">
        <f t="shared" si="36"/>
        <v>44549.2306374502</v>
      </c>
      <c r="GA43" s="52">
        <f t="shared" si="37"/>
        <v>44549.2306374502</v>
      </c>
    </row>
    <row r="44" spans="1:183" ht="15.75" x14ac:dyDescent="0.25">
      <c r="A44" s="66" t="s">
        <v>312</v>
      </c>
      <c r="B44" s="66" t="s">
        <v>313</v>
      </c>
      <c r="C44" s="67">
        <v>1</v>
      </c>
      <c r="D44" s="68" t="s">
        <v>299</v>
      </c>
      <c r="E44">
        <v>1</v>
      </c>
      <c r="F44" s="27">
        <v>340</v>
      </c>
      <c r="G44" s="27">
        <v>292</v>
      </c>
      <c r="H44" s="27">
        <v>307</v>
      </c>
      <c r="I44" s="27">
        <v>351</v>
      </c>
      <c r="J44" s="23">
        <v>45</v>
      </c>
      <c r="K44" s="23">
        <v>33</v>
      </c>
      <c r="L44" s="23">
        <v>18</v>
      </c>
      <c r="M44" s="23">
        <v>53</v>
      </c>
      <c r="N44" s="27">
        <v>295</v>
      </c>
      <c r="O44" s="27">
        <v>259</v>
      </c>
      <c r="P44" s="27">
        <v>289</v>
      </c>
      <c r="Q44" s="27">
        <v>298</v>
      </c>
      <c r="R44" s="25">
        <f>VLOOKUP($A44,'ADM, LTADM'!$B:$L,2,FALSE)</f>
        <v>637.42999999999995</v>
      </c>
      <c r="S44" s="25">
        <f>VLOOKUP($A44,'ADM, LTADM'!$B:$L,3,FALSE)</f>
        <v>637.42999999999995</v>
      </c>
      <c r="T44" s="25">
        <f>VLOOKUP($A44,'ADM, LTADM'!$B:$L,4,FALSE)</f>
        <v>615.5</v>
      </c>
      <c r="U44" s="25">
        <f>VLOOKUP($A44,'ADM, LTADM'!$B:$L,5,FALSE)</f>
        <v>620</v>
      </c>
      <c r="V44" s="29">
        <f>VLOOKUP($A44,'ADM, LTADM'!$B:$L,7,FALSE)</f>
        <v>614.28</v>
      </c>
      <c r="W44" s="29">
        <f>VLOOKUP($A44,'ADM, LTADM'!$B:$L,8,FALSE)</f>
        <v>640.25</v>
      </c>
      <c r="X44" s="29">
        <f>VLOOKUP($A44,'ADM, LTADM'!$B:$L,9,FALSE)</f>
        <v>627.41</v>
      </c>
      <c r="Y44" s="29">
        <f>VLOOKUP($A44,'ADM, LTADM'!$B:$L,10,FALSE)</f>
        <v>618.51</v>
      </c>
      <c r="Z44" s="10">
        <v>580.19000000000005</v>
      </c>
      <c r="AA44" s="10">
        <v>603.34</v>
      </c>
      <c r="AB44" s="10">
        <v>632.98</v>
      </c>
      <c r="AC44" s="10">
        <v>613.05999999999995</v>
      </c>
      <c r="AD44" s="2" t="s">
        <v>222</v>
      </c>
      <c r="AE44" s="2" t="s">
        <v>222</v>
      </c>
      <c r="AF44" s="2" t="s">
        <v>222</v>
      </c>
      <c r="AG44" s="2" t="s">
        <v>222</v>
      </c>
      <c r="AH44" s="2"/>
      <c r="AI44" s="46">
        <f>VLOOKUP(A44,'[1]SU_SD IDEA 3-21'!$A:$B,2,FALSE)</f>
        <v>41</v>
      </c>
      <c r="AJ44" s="46">
        <f>VLOOKUP(A44,'[2]SU_SD IDEA 3-21'!$A:$B,2,FALSE)</f>
        <v>35</v>
      </c>
      <c r="AK44" s="46">
        <f>VLOOKUP(A44,'[3]SU_SD IDEA 3-21'!$A:$B,2,FALSE)</f>
        <v>39</v>
      </c>
      <c r="AL44" s="46">
        <f>VLOOKUP($A44,'[4]SU_SD IDEA 3-21'!$A:$B,2,FALSE)</f>
        <v>37</v>
      </c>
      <c r="AM44" s="22">
        <f t="shared" si="18"/>
        <v>6.4320788164974982E-2</v>
      </c>
      <c r="AN44" s="22">
        <f t="shared" si="19"/>
        <v>5.4907989896929861E-2</v>
      </c>
      <c r="AO44" s="22">
        <f t="shared" si="20"/>
        <v>6.3363119415109664E-2</v>
      </c>
      <c r="AP44" s="22">
        <f t="shared" si="21"/>
        <v>5.9677419354838709E-2</v>
      </c>
      <c r="AQ44" s="26" t="s">
        <v>222</v>
      </c>
      <c r="AR44" s="26" t="s">
        <v>222</v>
      </c>
      <c r="AS44" s="26" t="s">
        <v>222</v>
      </c>
      <c r="AT44" s="26" t="s">
        <v>222</v>
      </c>
      <c r="AU44" s="2">
        <v>0.82258064516129037</v>
      </c>
      <c r="AV44" s="2">
        <v>0.8</v>
      </c>
      <c r="AW44" s="2" t="s">
        <v>222</v>
      </c>
      <c r="AX44" s="2">
        <v>0.81609195402298851</v>
      </c>
      <c r="AY44" s="2">
        <v>0.79032258064516125</v>
      </c>
      <c r="AZ44" s="2">
        <v>0.72</v>
      </c>
      <c r="BA44" s="2" t="s">
        <v>222</v>
      </c>
      <c r="BB44" s="2">
        <v>0.77011494252873558</v>
      </c>
      <c r="BC44" s="2">
        <v>0.90697674418604646</v>
      </c>
      <c r="BD44" s="2" t="s">
        <v>222</v>
      </c>
      <c r="BE44" s="2" t="s">
        <v>222</v>
      </c>
      <c r="BF44" s="8"/>
      <c r="BG44" s="2" t="s">
        <v>222</v>
      </c>
      <c r="BH44" s="2" t="s">
        <v>222</v>
      </c>
      <c r="BI44" s="2" t="s">
        <v>222</v>
      </c>
      <c r="BJ44" s="8"/>
      <c r="BK44" s="31">
        <f>VLOOKUP($A44,[5]FY20!$W:$AF,7,FALSE)</f>
        <v>7.7627118644067794</v>
      </c>
      <c r="BL44" s="31">
        <f>VLOOKUP($A44,[5]FY20!$W:$AF,8,FALSE)</f>
        <v>0.33898305084745761</v>
      </c>
      <c r="BM44" s="31">
        <f>VLOOKUP($A44,[5]FY20!$W:$AF,9,FALSE)</f>
        <v>1.6949152542372881</v>
      </c>
      <c r="BN44" s="31">
        <f>VLOOKUP($A44,[5]FY20!$W:$AF,10,FALSE)</f>
        <v>2.3728813559322033</v>
      </c>
      <c r="BO44" s="55">
        <f>VLOOKUP($A44,[5]FY21!$W:$AF,7,FALSE)</f>
        <v>10.077220077220078</v>
      </c>
      <c r="BP44" s="55">
        <f>VLOOKUP($A44,[5]FY21!$W:$AF,8,FALSE)</f>
        <v>0.38610038610038611</v>
      </c>
      <c r="BQ44" s="55">
        <f>VLOOKUP($A44,[5]FY21!$W:$AF,9,FALSE)</f>
        <v>1.9305019305019304</v>
      </c>
      <c r="BR44" s="55">
        <f>VLOOKUP($A44,[5]FY21!$W:$AF,10,FALSE)</f>
        <v>2.5482625482625481</v>
      </c>
      <c r="BS44" s="31">
        <f>VLOOKUP($A44,[5]FY22!$W:$AF,7,FALSE)</f>
        <v>10.173010380622836</v>
      </c>
      <c r="BT44" s="31">
        <f>VLOOKUP($A44,[5]FY22!$W:$AF,8,FALSE)</f>
        <v>0.34602076124567477</v>
      </c>
      <c r="BU44" s="31">
        <f>VLOOKUP($A44,[5]FY22!$W:$AF,9,FALSE)</f>
        <v>1.7301038062283738</v>
      </c>
      <c r="BV44" s="31">
        <f>VLOOKUP($A44,[5]FY22!$W:$AF,10,FALSE)</f>
        <v>2.2491349480968861</v>
      </c>
      <c r="BW44" s="55">
        <f>VLOOKUP($A44,[5]FY23!$W:$AF,7,FALSE)</f>
        <v>10.372483221476509</v>
      </c>
      <c r="BX44" s="55">
        <f>VLOOKUP($A44,[5]FY23!$W:$AF,8,FALSE)</f>
        <v>0.33557046979865773</v>
      </c>
      <c r="BY44" s="55">
        <f>VLOOKUP($A44,[5]FY23!$W:$AF,9,FALSE)</f>
        <v>1.6778523489932886</v>
      </c>
      <c r="BZ44" s="55">
        <f>VLOOKUP($A44,[5]FY23!$W:$AF,10,FALSE)</f>
        <v>1.5436241610738253</v>
      </c>
      <c r="CA44" s="37">
        <f>VLOOKUP($A44,[5]FY20!$W:$AF,3,FALSE)</f>
        <v>81189.737991266375</v>
      </c>
      <c r="CB44" s="37">
        <f>VLOOKUP($A44,[5]FY20!$W:$AF,4,FALSE)</f>
        <v>107458</v>
      </c>
      <c r="CC44" s="37">
        <f>VLOOKUP($A44,[5]FY20!$W:$AF,5,FALSE)</f>
        <v>80634.600000000006</v>
      </c>
      <c r="CD44" s="37">
        <f>VLOOKUP($A44,[5]FY20!$W:$AF,6,FALSE)</f>
        <v>53417.142857142855</v>
      </c>
      <c r="CE44" s="52">
        <f>VLOOKUP($A44,[5]FY21!$W:$AF,3,FALSE)</f>
        <v>73995.938697318008</v>
      </c>
      <c r="CF44" s="52">
        <f>VLOOKUP($A44,[5]FY21!$W:$AF,4,FALSE)</f>
        <v>109607</v>
      </c>
      <c r="CG44" s="52">
        <f>VLOOKUP($A44,[5]FY21!$W:$AF,5,FALSE)</f>
        <v>81399</v>
      </c>
      <c r="CH44" s="52">
        <f>VLOOKUP($A44,[5]FY21!$W:$AF,6,FALSE)</f>
        <v>52642.57575757576</v>
      </c>
      <c r="CI44" s="37">
        <f>VLOOKUP($A44,[5]FY22!$W:$AF,3,FALSE)</f>
        <v>77103.401360544216</v>
      </c>
      <c r="CJ44" s="37">
        <f>VLOOKUP($A44,[5]FY22!$W:$AF,4,FALSE)</f>
        <v>111251</v>
      </c>
      <c r="CK44" s="37">
        <f>VLOOKUP($A44,[5]FY22!$W:$AF,5,FALSE)</f>
        <v>80635</v>
      </c>
      <c r="CL44" s="37">
        <f>VLOOKUP($A44,[5]FY22!$W:$AF,6,FALSE)</f>
        <v>52313.846153846156</v>
      </c>
      <c r="CM44" s="52">
        <f>VLOOKUP($A44,[5]FY23!$W:$AF,3,FALSE)</f>
        <v>76767.971530249109</v>
      </c>
      <c r="CN44" s="52">
        <f>VLOOKUP($A44,[5]FY23!$W:$AF,4,FALSE)</f>
        <v>111799</v>
      </c>
      <c r="CO44" s="52">
        <f>VLOOKUP($A44,[5]FY23!$W:$AF,5,FALSE)</f>
        <v>84975.8</v>
      </c>
      <c r="CP44" s="52">
        <f>VLOOKUP($A44,[5]FY23!$W:$AF,6,FALSE)</f>
        <v>49573.260869565223</v>
      </c>
      <c r="CQ44" s="5" t="s">
        <v>222</v>
      </c>
      <c r="CR44" s="4" t="s">
        <v>222</v>
      </c>
      <c r="CS44" s="4" t="s">
        <v>222</v>
      </c>
      <c r="CT44" s="4" t="s">
        <v>222</v>
      </c>
      <c r="CU44" s="4" t="s">
        <v>222</v>
      </c>
      <c r="CV44" s="4" t="s">
        <v>222</v>
      </c>
      <c r="CW44" s="4" t="s">
        <v>222</v>
      </c>
      <c r="CX44" s="4" t="s">
        <v>222</v>
      </c>
      <c r="CY44" t="s">
        <v>248</v>
      </c>
      <c r="CZ44" t="s">
        <v>248</v>
      </c>
      <c r="DA44" t="s">
        <v>248</v>
      </c>
      <c r="DB44">
        <v>1</v>
      </c>
      <c r="DC44">
        <v>0</v>
      </c>
      <c r="DD44">
        <v>0</v>
      </c>
      <c r="DE44">
        <v>0</v>
      </c>
      <c r="DF44">
        <v>0</v>
      </c>
      <c r="DG44">
        <v>1</v>
      </c>
      <c r="DH44">
        <v>0</v>
      </c>
      <c r="DI44">
        <v>0</v>
      </c>
      <c r="DJ44">
        <v>0</v>
      </c>
      <c r="DK44">
        <v>0</v>
      </c>
      <c r="DL44">
        <v>1</v>
      </c>
      <c r="DM44">
        <v>0</v>
      </c>
      <c r="DN44">
        <v>0</v>
      </c>
      <c r="DO44">
        <v>0</v>
      </c>
      <c r="DP44">
        <v>0</v>
      </c>
      <c r="DQ44" s="5">
        <v>1</v>
      </c>
      <c r="DR44" s="5">
        <v>0</v>
      </c>
      <c r="DS44" s="5">
        <v>0</v>
      </c>
      <c r="DT44" s="5">
        <v>0</v>
      </c>
      <c r="DU44" s="5">
        <v>0</v>
      </c>
      <c r="DV44" s="5">
        <v>1</v>
      </c>
      <c r="DW44" s="5">
        <v>0</v>
      </c>
      <c r="DX44" s="5">
        <v>0</v>
      </c>
      <c r="DY44" s="5">
        <v>0</v>
      </c>
      <c r="DZ44" s="5">
        <v>0</v>
      </c>
      <c r="EA44" s="5">
        <v>1</v>
      </c>
      <c r="EB44" s="5">
        <v>0</v>
      </c>
      <c r="EC44" s="5">
        <v>0</v>
      </c>
      <c r="ED44" s="5">
        <v>0</v>
      </c>
      <c r="EE44" s="5">
        <v>0</v>
      </c>
      <c r="EF44" s="36">
        <f>VLOOKUP($A44,'[6]Updated (2)'!$A$2:$Q$54,2,FALSE)</f>
        <v>0</v>
      </c>
      <c r="EG44" s="36">
        <f>VLOOKUP($A44,'[6]Updated (2)'!$A$2:$Q$54,3,FALSE)</f>
        <v>0</v>
      </c>
      <c r="EH44" s="36">
        <f>VLOOKUP($A44,'[6]Updated (2)'!$A$2:$Q$54,4,FALSE)</f>
        <v>0</v>
      </c>
      <c r="EI44" s="36">
        <f>VLOOKUP($A44,'[6]Updated (2)'!$A$2:$Q$54,5,FALSE)</f>
        <v>0</v>
      </c>
      <c r="EJ44" s="48">
        <f>VLOOKUP($A44,'[6]Updated (2)'!$A$2:$Q$54,6,FALSE)</f>
        <v>0</v>
      </c>
      <c r="EK44" s="48">
        <f>VLOOKUP($A44,'[6]Updated (2)'!$A$2:$Q$54,7,FALSE)</f>
        <v>0</v>
      </c>
      <c r="EL44" s="48">
        <f>VLOOKUP($A44,'[6]Updated (2)'!$A$2:$Q$54,8,FALSE)</f>
        <v>0</v>
      </c>
      <c r="EM44" s="48">
        <f>VLOOKUP($A44,'[6]Updated (2)'!$A$2:$Q$54,9,FALSE)</f>
        <v>0</v>
      </c>
      <c r="EN44" s="36">
        <f>VLOOKUP($A44,'[6]Updated (2)'!$A$2:$Q$54,10,FALSE)</f>
        <v>0</v>
      </c>
      <c r="EO44" s="36">
        <f>VLOOKUP($A44,'[6]Updated (2)'!$A$2:$Q$54,11,FALSE)</f>
        <v>0</v>
      </c>
      <c r="EP44" s="36">
        <f>VLOOKUP($A44,'[6]Updated (2)'!$A$2:$Q$54,12,FALSE)</f>
        <v>0</v>
      </c>
      <c r="EQ44" s="36">
        <f>VLOOKUP($A44,'[6]Updated (2)'!$A$2:$Q$54,13,FALSE)</f>
        <v>0</v>
      </c>
      <c r="ER44" s="48">
        <f>VLOOKUP($A44,'[6]Updated (2)'!$A$2:$Q$54,14,FALSE)</f>
        <v>0</v>
      </c>
      <c r="ES44" s="48">
        <f>VLOOKUP($A44,'[6]Updated (2)'!$A$2:$Q$54,15,FALSE)</f>
        <v>0</v>
      </c>
      <c r="ET44" s="48">
        <f>VLOOKUP($A44,'[6]Updated (2)'!$A$2:$Q$54,16,FALSE)</f>
        <v>0</v>
      </c>
      <c r="EU44" s="48">
        <f>VLOOKUP($A44,'[6]Updated (2)'!$A$2:$Q$54,17,FALSE)</f>
        <v>0</v>
      </c>
      <c r="EV44" s="37">
        <f>VLOOKUP($A44,[7]Totals!$A44:$F95,3,FALSE)-SUM(EF44:EI44)</f>
        <v>12607751</v>
      </c>
      <c r="EW44" s="37">
        <f>VLOOKUP($A44,[7]Totals!$A44:$F95,4,FALSE)-SUM(EJ44:EM44)</f>
        <v>13343415.039999995</v>
      </c>
      <c r="EX44" s="37">
        <f>VLOOKUP($A44,[7]Totals!$A44:$F95,5,FALSE)-SUM(EN44:EQ44)</f>
        <v>13707498.760000007</v>
      </c>
      <c r="EY44" s="37">
        <f>VLOOKUP($A44,[7]Totals!$A44:$F95,6,FALSE)-SUM(ER44:EU44)</f>
        <v>15360799.779999992</v>
      </c>
      <c r="EZ44" s="52">
        <f t="shared" si="22"/>
        <v>20524.43673894641</v>
      </c>
      <c r="FA44" s="52">
        <f t="shared" si="23"/>
        <v>20840.94500585708</v>
      </c>
      <c r="FB44" s="52">
        <f t="shared" si="24"/>
        <v>21847.753080123057</v>
      </c>
      <c r="FC44" s="52">
        <f t="shared" si="25"/>
        <v>24835.168032853133</v>
      </c>
      <c r="FD44" s="37">
        <f>VLOOKUP($A44,[8]Totals!$A$2:$F$54,3)-SUM(EF44:EI44)</f>
        <v>12377299</v>
      </c>
      <c r="FE44" s="37">
        <f>VLOOKUP($A44,[8]Totals!$A$2:$F$54,4)-SUM(EJ44:EM44)</f>
        <v>13343415.039999995</v>
      </c>
      <c r="FF44" s="37">
        <f>VLOOKUP($A44,[8]Totals!$A$2:$F$54,5)-SUM(EN44:EQ44)</f>
        <v>13584537.710000001</v>
      </c>
      <c r="FG44" s="37">
        <f>VLOOKUP($A44,[8]Totals!$A$2:$F$54,6)-SUM(ER44:EU44)</f>
        <v>15360799.780000001</v>
      </c>
      <c r="FH44" s="52">
        <f t="shared" si="26"/>
        <v>20149.278830500749</v>
      </c>
      <c r="FI44" s="52">
        <f t="shared" si="27"/>
        <v>20840.94500585708</v>
      </c>
      <c r="FJ44" s="52">
        <f t="shared" si="28"/>
        <v>21651.771106612905</v>
      </c>
      <c r="FK44" s="52">
        <f t="shared" si="29"/>
        <v>24835.168032853151</v>
      </c>
      <c r="FL44" s="37">
        <f>VLOOKUP($A44,[9]Totals!$A$3:$F$54,3)-SUM(EF44:EI44)</f>
        <v>12182559</v>
      </c>
      <c r="FM44" s="37">
        <f>VLOOKUP($A44,[9]Totals!$A$3:$F$54,4)-SUM(EJ44:EM44)</f>
        <v>12672615.579999998</v>
      </c>
      <c r="FN44" s="37">
        <f>VLOOKUP($A44,[9]Totals!$A$3:$F$54,5)-SUM(EN44:EQ44)</f>
        <v>13273130.35</v>
      </c>
      <c r="FO44" s="37">
        <f>VLOOKUP($A44,[9]Totals!$A$3:$F$54,6)-SUM(ER44:EU44)</f>
        <v>14949836.359999999</v>
      </c>
      <c r="FP44" s="52">
        <f t="shared" si="30"/>
        <v>19832.257276811877</v>
      </c>
      <c r="FQ44" s="52">
        <f t="shared" si="31"/>
        <v>19793.230113237016</v>
      </c>
      <c r="FR44" s="52">
        <f t="shared" si="32"/>
        <v>21155.433209544</v>
      </c>
      <c r="FS44" s="52">
        <f t="shared" si="33"/>
        <v>24170.727005222227</v>
      </c>
      <c r="FT44" s="37">
        <f>VLOOKUP($A44,[10]Calculations!$AF$3:$AJ$54,2,FALSE)-EI44</f>
        <v>1273749</v>
      </c>
      <c r="FU44" s="37">
        <f>VLOOKUP($A44,[10]Calculations!$AF$3:$AJ$54,3,FALSE)-EM44</f>
        <v>1271057.45</v>
      </c>
      <c r="FV44" s="37">
        <f>VLOOKUP($A44,[10]Calculations!$AF$3:$AJ$54,4,FALSE)-EQ44</f>
        <v>738947.12</v>
      </c>
      <c r="FW44" s="37">
        <f>VLOOKUP($A44,[10]Calculations!$AF$3:$AJ$54,5,FALSE)-EU44</f>
        <v>701052.39589743596</v>
      </c>
      <c r="FX44" s="52">
        <f t="shared" si="34"/>
        <v>31067.048780487807</v>
      </c>
      <c r="FY44" s="52">
        <f t="shared" si="35"/>
        <v>36315.927142857145</v>
      </c>
      <c r="FZ44" s="52">
        <f t="shared" si="36"/>
        <v>18947.362051282053</v>
      </c>
      <c r="GA44" s="52">
        <f t="shared" si="37"/>
        <v>18947.362051282053</v>
      </c>
    </row>
    <row r="45" spans="1:183" ht="15.75" x14ac:dyDescent="0.25">
      <c r="A45" s="66" t="s">
        <v>314</v>
      </c>
      <c r="B45" s="66" t="s">
        <v>315</v>
      </c>
      <c r="C45" s="67">
        <v>2</v>
      </c>
      <c r="D45" s="68" t="s">
        <v>299</v>
      </c>
      <c r="E45">
        <v>4</v>
      </c>
      <c r="F45" s="27">
        <v>1237</v>
      </c>
      <c r="G45" s="27">
        <v>1137</v>
      </c>
      <c r="H45" s="27">
        <v>1231</v>
      </c>
      <c r="I45" s="27">
        <v>1224</v>
      </c>
      <c r="J45" s="23">
        <v>132</v>
      </c>
      <c r="K45" s="23">
        <v>111</v>
      </c>
      <c r="L45" s="23">
        <v>145</v>
      </c>
      <c r="M45" s="23">
        <v>126</v>
      </c>
      <c r="N45" s="27">
        <v>1105</v>
      </c>
      <c r="O45" s="27">
        <v>1026</v>
      </c>
      <c r="P45" s="27">
        <v>1086</v>
      </c>
      <c r="Q45" s="27">
        <v>1098</v>
      </c>
      <c r="R45" s="25">
        <f>VLOOKUP($A45,'ADM, LTADM'!$B:$L,2,FALSE)</f>
        <v>1245.4399999999998</v>
      </c>
      <c r="S45" s="25">
        <f>VLOOKUP($A45,'ADM, LTADM'!$B:$L,3,FALSE)</f>
        <v>1253.7099999999998</v>
      </c>
      <c r="T45" s="25">
        <f>VLOOKUP($A45,'ADM, LTADM'!$B:$L,4,FALSE)</f>
        <v>1227.3799999999997</v>
      </c>
      <c r="U45" s="25">
        <f>VLOOKUP($A45,'ADM, LTADM'!$B:$L,5,FALSE)</f>
        <v>1237.99</v>
      </c>
      <c r="V45" s="29">
        <f>VLOOKUP($A45,'ADM, LTADM'!$B:$L,7,FALSE)</f>
        <v>1229.24</v>
      </c>
      <c r="W45" s="29">
        <f>VLOOKUP($A45,'ADM, LTADM'!$B:$L,8,FALSE)</f>
        <v>1258.8499999999999</v>
      </c>
      <c r="X45" s="29">
        <f>VLOOKUP($A45,'ADM, LTADM'!$B:$L,9,FALSE)</f>
        <v>1248.99</v>
      </c>
      <c r="Y45" s="29">
        <f>VLOOKUP($A45,'ADM, LTADM'!$B:$L,10,FALSE)</f>
        <v>1237.1600000000001</v>
      </c>
      <c r="Z45" s="10">
        <v>1262.56</v>
      </c>
      <c r="AA45" s="10">
        <v>1257.08</v>
      </c>
      <c r="AB45" s="10">
        <v>1283.03</v>
      </c>
      <c r="AC45" s="10">
        <v>1259.5999999999999</v>
      </c>
      <c r="AD45" s="2">
        <v>0.53649956024626211</v>
      </c>
      <c r="AE45" s="2">
        <v>0.50754716981132075</v>
      </c>
      <c r="AF45" s="2">
        <v>0.28738738738738739</v>
      </c>
      <c r="AG45" s="2">
        <v>0.51601423487544484</v>
      </c>
      <c r="AH45" s="2">
        <f t="shared" ref="AH45:AH53" si="38">AVERAGE(AD45:AF45)</f>
        <v>0.44381137248165675</v>
      </c>
      <c r="AI45" s="46">
        <f>VLOOKUP(A45,'[1]SU_SD IDEA 3-21'!$A:$B,2,FALSE)</f>
        <v>314</v>
      </c>
      <c r="AJ45" s="46">
        <f>VLOOKUP(A45,'[2]SU_SD IDEA 3-21'!$A:$B,2,FALSE)</f>
        <v>308</v>
      </c>
      <c r="AK45" s="46">
        <f>VLOOKUP(A45,'[3]SU_SD IDEA 3-21'!$A:$B,2,FALSE)</f>
        <v>336</v>
      </c>
      <c r="AL45" s="46">
        <f>VLOOKUP($A45,'[4]SU_SD IDEA 3-21'!$A:$B,2,FALSE)</f>
        <v>339</v>
      </c>
      <c r="AM45" s="22">
        <f t="shared" si="18"/>
        <v>0.25211973278520045</v>
      </c>
      <c r="AN45" s="22">
        <f t="shared" si="19"/>
        <v>0.24567084892040428</v>
      </c>
      <c r="AO45" s="22">
        <f t="shared" si="20"/>
        <v>0.27375384966351096</v>
      </c>
      <c r="AP45" s="22">
        <f t="shared" si="21"/>
        <v>0.2738309679399672</v>
      </c>
      <c r="AQ45" s="26">
        <v>9.6745822339489879E-3</v>
      </c>
      <c r="AR45" s="26">
        <v>1.2264150943396227E-2</v>
      </c>
      <c r="AS45" s="26">
        <v>1.4414414414414415E-2</v>
      </c>
      <c r="AT45" s="26">
        <v>1.6903914590747332E-2</v>
      </c>
      <c r="AU45" s="2">
        <v>0.42372881355932202</v>
      </c>
      <c r="AV45" s="2">
        <v>0.40163934426229508</v>
      </c>
      <c r="AW45" s="2">
        <v>0.42168674698795183</v>
      </c>
      <c r="AX45" s="2">
        <v>0.41385435168738899</v>
      </c>
      <c r="AY45" s="2">
        <v>0.24472573839662448</v>
      </c>
      <c r="AZ45" s="2">
        <v>0.18930041152263374</v>
      </c>
      <c r="BA45" s="2">
        <v>0.17073170731707318</v>
      </c>
      <c r="BB45" s="2">
        <v>0.20996441281138789</v>
      </c>
      <c r="BC45" s="2">
        <v>0.3048780487804878</v>
      </c>
      <c r="BD45" s="2" t="s">
        <v>222</v>
      </c>
      <c r="BE45" s="2" t="s">
        <v>222</v>
      </c>
      <c r="BF45" s="8">
        <v>0.3</v>
      </c>
      <c r="BG45" s="2">
        <v>0.10975609756097561</v>
      </c>
      <c r="BH45" s="2" t="s">
        <v>222</v>
      </c>
      <c r="BI45" s="2" t="s">
        <v>222</v>
      </c>
      <c r="BJ45" s="8">
        <v>0.11</v>
      </c>
      <c r="BK45" s="31">
        <f>VLOOKUP($A45,[5]FY20!$W:$AF,7,FALSE)</f>
        <v>10.281447963800904</v>
      </c>
      <c r="BL45" s="31">
        <f>VLOOKUP($A45,[5]FY20!$W:$AF,8,FALSE)</f>
        <v>0.99547511312217185</v>
      </c>
      <c r="BM45" s="31">
        <f>VLOOKUP($A45,[5]FY20!$W:$AF,9,FALSE)</f>
        <v>2.569230769230769</v>
      </c>
      <c r="BN45" s="31">
        <f>VLOOKUP($A45,[5]FY20!$W:$AF,10,FALSE)</f>
        <v>5.352941176470587</v>
      </c>
      <c r="BO45" s="55">
        <f>VLOOKUP($A45,[5]FY21!$W:$AF,7,FALSE)</f>
        <v>11.124756335282651</v>
      </c>
      <c r="BP45" s="55">
        <f>VLOOKUP($A45,[5]FY21!$W:$AF,8,FALSE)</f>
        <v>1.0721247563352825</v>
      </c>
      <c r="BQ45" s="55">
        <f>VLOOKUP($A45,[5]FY21!$W:$AF,9,FALSE)</f>
        <v>3.2807017543859653</v>
      </c>
      <c r="BR45" s="55">
        <f>VLOOKUP($A45,[5]FY21!$W:$AF,10,FALSE)</f>
        <v>5.8265107212475629</v>
      </c>
      <c r="BS45" s="31">
        <f>VLOOKUP($A45,[5]FY22!$W:$AF,7,FALSE)</f>
        <v>10.602209944751381</v>
      </c>
      <c r="BT45" s="31">
        <f>VLOOKUP($A45,[5]FY22!$W:$AF,8,FALSE)</f>
        <v>1.1049723756906076</v>
      </c>
      <c r="BU45" s="31">
        <f>VLOOKUP($A45,[5]FY22!$W:$AF,9,FALSE)</f>
        <v>3.3664825046040523</v>
      </c>
      <c r="BV45" s="31">
        <f>VLOOKUP($A45,[5]FY22!$W:$AF,10,FALSE)</f>
        <v>5.5276243093922641</v>
      </c>
      <c r="BW45" s="55">
        <f>VLOOKUP($A45,[5]FY23!$W:$AF,7,FALSE)</f>
        <v>10.253187613843352</v>
      </c>
      <c r="BX45" s="55">
        <f>VLOOKUP($A45,[5]FY23!$W:$AF,8,FALSE)</f>
        <v>1.0928961748633881</v>
      </c>
      <c r="BY45" s="55">
        <f>VLOOKUP($A45,[5]FY23!$W:$AF,9,FALSE)</f>
        <v>3.0956284153005464</v>
      </c>
      <c r="BZ45" s="55">
        <f>VLOOKUP($A45,[5]FY23!$W:$AF,10,FALSE)</f>
        <v>5.1484517304189437</v>
      </c>
      <c r="CA45" s="37">
        <f>VLOOKUP($A45,[5]FY20!$W:$AF,3,FALSE)</f>
        <v>59642.080978787075</v>
      </c>
      <c r="CB45" s="37">
        <f>VLOOKUP($A45,[5]FY20!$W:$AF,4,FALSE)</f>
        <v>94653.086363636365</v>
      </c>
      <c r="CC45" s="37">
        <f>VLOOKUP($A45,[5]FY20!$W:$AF,5,FALSE)</f>
        <v>50209.901021486439</v>
      </c>
      <c r="CD45" s="37">
        <f>VLOOKUP($A45,[5]FY20!$W:$AF,6,FALSE)</f>
        <v>38112.355874894354</v>
      </c>
      <c r="CE45" s="52">
        <f>VLOOKUP($A45,[5]FY21!$W:$AF,3,FALSE)</f>
        <v>60292.577185912036</v>
      </c>
      <c r="CF45" s="52">
        <f>VLOOKUP($A45,[5]FY21!$W:$AF,4,FALSE)</f>
        <v>96753.545454545456</v>
      </c>
      <c r="CG45" s="52">
        <f>VLOOKUP($A45,[5]FY21!$W:$AF,5,FALSE)</f>
        <v>52933.25103980986</v>
      </c>
      <c r="CH45" s="52">
        <f>VLOOKUP($A45,[5]FY21!$W:$AF,6,FALSE)</f>
        <v>38605.743559718976</v>
      </c>
      <c r="CI45" s="37">
        <f>VLOOKUP($A45,[5]FY22!$W:$AF,3,FALSE)</f>
        <v>61277.492789647382</v>
      </c>
      <c r="CJ45" s="37">
        <f>VLOOKUP($A45,[5]FY22!$W:$AF,4,FALSE)</f>
        <v>97271</v>
      </c>
      <c r="CK45" s="37">
        <f>VLOOKUP($A45,[5]FY22!$W:$AF,5,FALSE)</f>
        <v>53295.746170678336</v>
      </c>
      <c r="CL45" s="37">
        <f>VLOOKUP($A45,[5]FY22!$W:$AF,6,FALSE)</f>
        <v>41397.908462435451</v>
      </c>
      <c r="CM45" s="52">
        <f>VLOOKUP($A45,[5]FY23!$W:$AF,3,FALSE)</f>
        <v>62897.877331675241</v>
      </c>
      <c r="CN45" s="52">
        <f>VLOOKUP($A45,[5]FY23!$W:$AF,4,FALSE)</f>
        <v>99604.5</v>
      </c>
      <c r="CO45" s="52">
        <f>VLOOKUP($A45,[5]FY23!$W:$AF,5,FALSE)</f>
        <v>56862.883789349806</v>
      </c>
      <c r="CP45" s="52">
        <f>VLOOKUP($A45,[5]FY23!$W:$AF,6,FALSE)</f>
        <v>43408.735361754821</v>
      </c>
      <c r="CQ45" s="5">
        <v>0.79600000000000004</v>
      </c>
      <c r="CR45" s="4">
        <v>0.77</v>
      </c>
      <c r="CS45" s="4">
        <v>0.68799999999999994</v>
      </c>
      <c r="CT45" s="4">
        <v>0.70099999999999996</v>
      </c>
      <c r="CU45" s="4">
        <v>0.68400000000000005</v>
      </c>
      <c r="CV45" s="4">
        <v>0.80100000000000005</v>
      </c>
      <c r="CW45" s="4">
        <v>0.75900000000000001</v>
      </c>
      <c r="CX45" s="4">
        <v>0.71899999999999997</v>
      </c>
      <c r="CY45" t="s">
        <v>223</v>
      </c>
      <c r="CZ45" t="s">
        <v>223</v>
      </c>
      <c r="DA45" t="s">
        <v>223</v>
      </c>
      <c r="DB45">
        <v>0</v>
      </c>
      <c r="DC45">
        <v>0</v>
      </c>
      <c r="DD45">
        <v>3</v>
      </c>
      <c r="DE45">
        <v>0</v>
      </c>
      <c r="DF45">
        <v>0</v>
      </c>
      <c r="DG45">
        <v>0</v>
      </c>
      <c r="DH45">
        <v>0</v>
      </c>
      <c r="DI45">
        <v>3</v>
      </c>
      <c r="DJ45">
        <v>0</v>
      </c>
      <c r="DK45">
        <v>0</v>
      </c>
      <c r="DL45">
        <v>0</v>
      </c>
      <c r="DM45">
        <v>1</v>
      </c>
      <c r="DN45">
        <v>0</v>
      </c>
      <c r="DO45">
        <v>2</v>
      </c>
      <c r="DP45">
        <v>0</v>
      </c>
      <c r="DQ45" s="5">
        <v>0</v>
      </c>
      <c r="DR45" s="5">
        <v>0</v>
      </c>
      <c r="DS45" s="5">
        <v>1</v>
      </c>
      <c r="DT45" s="5">
        <v>0</v>
      </c>
      <c r="DU45" s="5">
        <v>0</v>
      </c>
      <c r="DV45" s="5">
        <v>0</v>
      </c>
      <c r="DW45" s="5">
        <v>0</v>
      </c>
      <c r="DX45" s="5">
        <v>1</v>
      </c>
      <c r="DY45" s="5">
        <v>0</v>
      </c>
      <c r="DZ45" s="5">
        <v>0</v>
      </c>
      <c r="EA45" s="5">
        <v>0</v>
      </c>
      <c r="EB45" s="5">
        <v>0.33300000000000002</v>
      </c>
      <c r="EC45" s="5">
        <v>0</v>
      </c>
      <c r="ED45" s="5">
        <v>0.66700000000000004</v>
      </c>
      <c r="EE45" s="5">
        <v>0</v>
      </c>
      <c r="EF45" s="36">
        <f>VLOOKUP($A45,'[6]Updated (2)'!$A$2:$Q$54,2,FALSE)</f>
        <v>0</v>
      </c>
      <c r="EG45" s="36">
        <f>VLOOKUP($A45,'[6]Updated (2)'!$A$2:$Q$54,3,FALSE)</f>
        <v>0</v>
      </c>
      <c r="EH45" s="36">
        <f>VLOOKUP($A45,'[6]Updated (2)'!$A$2:$Q$54,4,FALSE)</f>
        <v>0</v>
      </c>
      <c r="EI45" s="36">
        <f>VLOOKUP($A45,'[6]Updated (2)'!$A$2:$Q$54,5,FALSE)</f>
        <v>0</v>
      </c>
      <c r="EJ45" s="48">
        <f>VLOOKUP($A45,'[6]Updated (2)'!$A$2:$Q$54,6,FALSE)</f>
        <v>0</v>
      </c>
      <c r="EK45" s="48">
        <f>VLOOKUP($A45,'[6]Updated (2)'!$A$2:$Q$54,7,FALSE)</f>
        <v>0</v>
      </c>
      <c r="EL45" s="48">
        <f>VLOOKUP($A45,'[6]Updated (2)'!$A$2:$Q$54,8,FALSE)</f>
        <v>0</v>
      </c>
      <c r="EM45" s="48">
        <f>VLOOKUP($A45,'[6]Updated (2)'!$A$2:$Q$54,9,FALSE)</f>
        <v>0</v>
      </c>
      <c r="EN45" s="36">
        <f>VLOOKUP($A45,'[6]Updated (2)'!$A$2:$Q$54,10,FALSE)</f>
        <v>0</v>
      </c>
      <c r="EO45" s="36">
        <f>VLOOKUP($A45,'[6]Updated (2)'!$A$2:$Q$54,11,FALSE)</f>
        <v>0</v>
      </c>
      <c r="EP45" s="36">
        <f>VLOOKUP($A45,'[6]Updated (2)'!$A$2:$Q$54,12,FALSE)</f>
        <v>0</v>
      </c>
      <c r="EQ45" s="36">
        <f>VLOOKUP($A45,'[6]Updated (2)'!$A$2:$Q$54,13,FALSE)</f>
        <v>0</v>
      </c>
      <c r="ER45" s="48">
        <f>VLOOKUP($A45,'[6]Updated (2)'!$A$2:$Q$54,14,FALSE)</f>
        <v>0</v>
      </c>
      <c r="ES45" s="48">
        <f>VLOOKUP($A45,'[6]Updated (2)'!$A$2:$Q$54,15,FALSE)</f>
        <v>0</v>
      </c>
      <c r="ET45" s="48">
        <f>VLOOKUP($A45,'[6]Updated (2)'!$A$2:$Q$54,16,FALSE)</f>
        <v>0</v>
      </c>
      <c r="EU45" s="48">
        <f>VLOOKUP($A45,'[6]Updated (2)'!$A$2:$Q$54,17,FALSE)</f>
        <v>0</v>
      </c>
      <c r="EV45" s="37">
        <f>VLOOKUP($A45,[7]Totals!$A45:$F96,3,FALSE)-SUM(EF45:EI45)</f>
        <v>31304328.350000016</v>
      </c>
      <c r="EW45" s="37">
        <f>VLOOKUP($A45,[7]Totals!$A45:$F96,4,FALSE)-SUM(EJ45:EM45)</f>
        <v>35410698.489999972</v>
      </c>
      <c r="EX45" s="37">
        <f>VLOOKUP($A45,[7]Totals!$A45:$F96,5,FALSE)-SUM(EN45:EQ45)</f>
        <v>39435436.360000022</v>
      </c>
      <c r="EY45" s="37">
        <f>VLOOKUP($A45,[7]Totals!$A45:$F96,6,FALSE)-SUM(ER45:EU45)</f>
        <v>45270185.570000038</v>
      </c>
      <c r="EZ45" s="52">
        <f t="shared" si="22"/>
        <v>25466.408797305667</v>
      </c>
      <c r="FA45" s="52">
        <f t="shared" si="23"/>
        <v>28129.402621440182</v>
      </c>
      <c r="FB45" s="52">
        <f t="shared" si="24"/>
        <v>31573.860767500159</v>
      </c>
      <c r="FC45" s="52">
        <f t="shared" si="25"/>
        <v>36592.02170293255</v>
      </c>
      <c r="FD45" s="37">
        <f>VLOOKUP($A45,[8]Totals!$A$2:$F$54,3)-SUM(EF45:EI45)</f>
        <v>28902005.330000028</v>
      </c>
      <c r="FE45" s="37">
        <f>VLOOKUP($A45,[8]Totals!$A$2:$F$54,4)-SUM(EJ45:EM45)</f>
        <v>32606674.009999972</v>
      </c>
      <c r="FF45" s="37">
        <f>VLOOKUP($A45,[8]Totals!$A$2:$F$54,5)-SUM(EN45:EQ45)</f>
        <v>34670067.000000015</v>
      </c>
      <c r="FG45" s="37">
        <f>VLOOKUP($A45,[8]Totals!$A$2:$F$54,6)-SUM(ER45:EU45)</f>
        <v>40586467.659999914</v>
      </c>
      <c r="FH45" s="52">
        <f t="shared" si="26"/>
        <v>23512.093106309614</v>
      </c>
      <c r="FI45" s="52">
        <f t="shared" si="27"/>
        <v>25901.953378083152</v>
      </c>
      <c r="FJ45" s="52">
        <f t="shared" si="28"/>
        <v>27758.4824538227</v>
      </c>
      <c r="FK45" s="52">
        <f t="shared" si="29"/>
        <v>32806.158993177851</v>
      </c>
      <c r="FL45" s="37">
        <f>VLOOKUP($A45,[9]Totals!$A$3:$F$54,3)-SUM(EF45:EI45)</f>
        <v>26477220.490000013</v>
      </c>
      <c r="FM45" s="37">
        <f>VLOOKUP($A45,[9]Totals!$A$3:$F$54,4)-SUM(EJ45:EM45)</f>
        <v>26939298.989999987</v>
      </c>
      <c r="FN45" s="37">
        <f>VLOOKUP($A45,[9]Totals!$A$3:$F$54,5)-SUM(EN45:EQ45)</f>
        <v>29478847.790000018</v>
      </c>
      <c r="FO45" s="37">
        <f>VLOOKUP($A45,[9]Totals!$A$3:$F$54,6)-SUM(ER45:EU45)</f>
        <v>29754734.570000034</v>
      </c>
      <c r="FP45" s="52">
        <f t="shared" si="30"/>
        <v>21539.504482444449</v>
      </c>
      <c r="FQ45" s="52">
        <f t="shared" si="31"/>
        <v>21399.927703856687</v>
      </c>
      <c r="FR45" s="52">
        <f t="shared" si="32"/>
        <v>23602.148768204723</v>
      </c>
      <c r="FS45" s="52">
        <f t="shared" si="33"/>
        <v>24050.837862523869</v>
      </c>
      <c r="FT45" s="37">
        <f>VLOOKUP($A45,[10]Calculations!$AF$3:$AJ$54,2,FALSE)-EI45</f>
        <v>8387188.5299999975</v>
      </c>
      <c r="FU45" s="37">
        <f>VLOOKUP($A45,[10]Calculations!$AF$3:$AJ$54,3,FALSE)-EM45</f>
        <v>8087460.2200000007</v>
      </c>
      <c r="FV45" s="37">
        <f>VLOOKUP($A45,[10]Calculations!$AF$3:$AJ$54,4,FALSE)-EQ45</f>
        <v>9000005.3200000003</v>
      </c>
      <c r="FW45" s="37">
        <f>VLOOKUP($A45,[10]Calculations!$AF$3:$AJ$54,5,FALSE)-EU45</f>
        <v>9080362.5103571434</v>
      </c>
      <c r="FX45" s="52">
        <f t="shared" si="34"/>
        <v>26710.79149681528</v>
      </c>
      <c r="FY45" s="52">
        <f t="shared" si="35"/>
        <v>26257.987727272728</v>
      </c>
      <c r="FZ45" s="52">
        <f t="shared" si="36"/>
        <v>26785.730119047621</v>
      </c>
      <c r="GA45" s="52">
        <f t="shared" si="37"/>
        <v>26785.730119047621</v>
      </c>
    </row>
    <row r="46" spans="1:183" ht="15.75" x14ac:dyDescent="0.25">
      <c r="A46" s="66" t="s">
        <v>316</v>
      </c>
      <c r="B46" s="66" t="s">
        <v>317</v>
      </c>
      <c r="C46" s="67">
        <v>4</v>
      </c>
      <c r="D46" s="68" t="s">
        <v>272</v>
      </c>
      <c r="E46">
        <v>3</v>
      </c>
      <c r="F46" s="27">
        <v>2393</v>
      </c>
      <c r="G46" s="27">
        <v>2266</v>
      </c>
      <c r="H46" s="27">
        <v>2217</v>
      </c>
      <c r="I46" s="27">
        <v>2199</v>
      </c>
      <c r="J46" s="23">
        <v>240</v>
      </c>
      <c r="K46" s="23">
        <v>160</v>
      </c>
      <c r="L46" s="23">
        <v>221</v>
      </c>
      <c r="M46" s="23">
        <v>213</v>
      </c>
      <c r="N46" s="27">
        <v>2153</v>
      </c>
      <c r="O46" s="27">
        <v>2106</v>
      </c>
      <c r="P46" s="27">
        <v>1996</v>
      </c>
      <c r="Q46" s="27">
        <v>1986</v>
      </c>
      <c r="R46" s="25">
        <f>VLOOKUP($A46,'ADM, LTADM'!$B:$L,2,FALSE)</f>
        <v>2359.31</v>
      </c>
      <c r="S46" s="25">
        <f>VLOOKUP($A46,'ADM, LTADM'!$B:$L,3,FALSE)</f>
        <v>2348.8199999999997</v>
      </c>
      <c r="T46" s="25">
        <f>VLOOKUP($A46,'ADM, LTADM'!$B:$L,4,FALSE)</f>
        <v>2152.6399999999994</v>
      </c>
      <c r="U46" s="25">
        <f>VLOOKUP($A46,'ADM, LTADM'!$B:$L,5,FALSE)</f>
        <v>2179.3199999999997</v>
      </c>
      <c r="V46" s="29">
        <f>VLOOKUP($A46,'ADM, LTADM'!$B:$L,7,FALSE)</f>
        <v>2373.4399999999996</v>
      </c>
      <c r="W46" s="29">
        <f>VLOOKUP($A46,'ADM, LTADM'!$B:$L,8,FALSE)</f>
        <v>2368.2399999999998</v>
      </c>
      <c r="X46" s="29">
        <f>VLOOKUP($A46,'ADM, LTADM'!$B:$L,9,FALSE)</f>
        <v>2258.86</v>
      </c>
      <c r="Y46" s="29">
        <f>VLOOKUP($A46,'ADM, LTADM'!$B:$L,10,FALSE)</f>
        <v>2177.5200000000004</v>
      </c>
      <c r="Z46" s="10">
        <v>2410.69</v>
      </c>
      <c r="AA46" s="10">
        <v>2395.9699999999998</v>
      </c>
      <c r="AB46" s="10">
        <v>2390.52</v>
      </c>
      <c r="AC46" s="10">
        <v>2306.85</v>
      </c>
      <c r="AD46" s="2">
        <v>0.32274881516587678</v>
      </c>
      <c r="AE46" s="2">
        <v>0.29799999999999999</v>
      </c>
      <c r="AF46" s="2">
        <v>0.38593829033889732</v>
      </c>
      <c r="AG46" s="2">
        <v>0.26729716276754606</v>
      </c>
      <c r="AH46" s="2">
        <f t="shared" si="38"/>
        <v>0.33556236850159138</v>
      </c>
      <c r="AI46" s="46">
        <f>VLOOKUP(A46,'[1]SU_SD IDEA 3-21'!$A:$B,2,FALSE)</f>
        <v>539</v>
      </c>
      <c r="AJ46" s="46">
        <f>VLOOKUP(A46,'[2]SU_SD IDEA 3-21'!$A:$B,2,FALSE)</f>
        <v>535</v>
      </c>
      <c r="AK46" s="46">
        <f>VLOOKUP(A46,'[3]SU_SD IDEA 3-21'!$A:$B,2,FALSE)</f>
        <v>536</v>
      </c>
      <c r="AL46" s="46">
        <f>VLOOKUP($A46,'[4]SU_SD IDEA 3-21'!$A:$B,2,FALSE)</f>
        <v>567</v>
      </c>
      <c r="AM46" s="22">
        <f t="shared" si="18"/>
        <v>0.22845662503019951</v>
      </c>
      <c r="AN46" s="22">
        <f t="shared" si="19"/>
        <v>0.22777394606653556</v>
      </c>
      <c r="AO46" s="22">
        <f t="shared" si="20"/>
        <v>0.24899658094247071</v>
      </c>
      <c r="AP46" s="22">
        <f t="shared" si="21"/>
        <v>0.26017289796817361</v>
      </c>
      <c r="AQ46" s="26">
        <v>7.5829383886255926E-3</v>
      </c>
      <c r="AR46" s="26">
        <v>0.01</v>
      </c>
      <c r="AS46" s="26">
        <v>9.6105209914011131E-3</v>
      </c>
      <c r="AT46" s="26">
        <v>7.9641612742658036E-3</v>
      </c>
      <c r="AU46" s="2">
        <v>0.46652719665271969</v>
      </c>
      <c r="AV46" s="2">
        <v>0.55965292841648595</v>
      </c>
      <c r="AW46" s="2">
        <v>0.53846153846153844</v>
      </c>
      <c r="AX46" s="2">
        <v>0.51598173515981738</v>
      </c>
      <c r="AY46" s="2">
        <v>0.44537815126050423</v>
      </c>
      <c r="AZ46" s="2">
        <v>0.4357298474945534</v>
      </c>
      <c r="BA46" s="2">
        <v>0.32692307692307693</v>
      </c>
      <c r="BB46" s="2">
        <v>0.42438130155820347</v>
      </c>
      <c r="BC46" s="2" t="s">
        <v>222</v>
      </c>
      <c r="BD46" s="2">
        <v>0.43288590604026844</v>
      </c>
      <c r="BE46" s="2" t="s">
        <v>222</v>
      </c>
      <c r="BF46" s="8">
        <v>0.43</v>
      </c>
      <c r="BG46" s="2" t="s">
        <v>222</v>
      </c>
      <c r="BH46" s="2">
        <v>0.35785953177257523</v>
      </c>
      <c r="BI46" s="2" t="s">
        <v>222</v>
      </c>
      <c r="BJ46" s="8">
        <v>0.36</v>
      </c>
      <c r="BK46" s="31">
        <f>VLOOKUP($A46,[5]FY20!$W:$AF,7,FALSE)</f>
        <v>8.4621813623067279</v>
      </c>
      <c r="BL46" s="31">
        <f>VLOOKUP($A46,[5]FY20!$W:$AF,8,FALSE)</f>
        <v>1.2118679481821981</v>
      </c>
      <c r="BM46" s="31">
        <f>VLOOKUP($A46,[5]FY20!$W:$AF,9,FALSE)</f>
        <v>1.9749268700376097</v>
      </c>
      <c r="BN46" s="31">
        <f>VLOOKUP($A46,[5]FY20!$W:$AF,10,FALSE)</f>
        <v>5.1328875888006689</v>
      </c>
      <c r="BO46" s="55">
        <f>VLOOKUP($A46,[5]FY21!$W:$AF,7,FALSE)</f>
        <v>8.3079816130380273</v>
      </c>
      <c r="BP46" s="55">
        <f>VLOOKUP($A46,[5]FY21!$W:$AF,8,FALSE)</f>
        <v>1.2118679481821981</v>
      </c>
      <c r="BQ46" s="55">
        <f>VLOOKUP($A46,[5]FY21!$W:$AF,9,FALSE)</f>
        <v>1.9933138320100292</v>
      </c>
      <c r="BR46" s="55">
        <f>VLOOKUP($A46,[5]FY21!$W:$AF,10,FALSE)</f>
        <v>5.2887588800668617</v>
      </c>
      <c r="BS46" s="31">
        <f>VLOOKUP($A46,[5]FY22!$W:$AF,7,FALSE)</f>
        <v>9.7720440881763526</v>
      </c>
      <c r="BT46" s="31">
        <f>VLOOKUP($A46,[5]FY22!$W:$AF,8,FALSE)</f>
        <v>1.4529058116232465</v>
      </c>
      <c r="BU46" s="31">
        <f>VLOOKUP($A46,[5]FY22!$W:$AF,9,FALSE)</f>
        <v>2.1142284569138279</v>
      </c>
      <c r="BV46" s="31">
        <f>VLOOKUP($A46,[5]FY22!$W:$AF,10,FALSE)</f>
        <v>7.0140280561122248</v>
      </c>
      <c r="BW46" s="55">
        <f>VLOOKUP($A46,[5]FY23!$W:$AF,7,FALSE)</f>
        <v>9.6299093655589125</v>
      </c>
      <c r="BX46" s="55">
        <f>VLOOKUP($A46,[5]FY23!$W:$AF,8,FALSE)</f>
        <v>1.0070493454179255</v>
      </c>
      <c r="BY46" s="55">
        <f>VLOOKUP($A46,[5]FY23!$W:$AF,9,FALSE)</f>
        <v>2.3262839879154078</v>
      </c>
      <c r="BZ46" s="55">
        <f>VLOOKUP($A46,[5]FY23!$W:$AF,10,FALSE)</f>
        <v>7.4521651560926481</v>
      </c>
      <c r="CA46" s="37">
        <f>VLOOKUP($A46,[5]FY20!$W:$AF,3,FALSE)</f>
        <v>57296.715012345674</v>
      </c>
      <c r="CB46" s="37">
        <f>VLOOKUP($A46,[5]FY20!$W:$AF,4,FALSE)</f>
        <v>58838.230344827585</v>
      </c>
      <c r="CC46" s="37">
        <f>VLOOKUP($A46,[5]FY20!$W:$AF,5,FALSE)</f>
        <v>54063.855480321632</v>
      </c>
      <c r="CD46" s="37">
        <f>VLOOKUP($A46,[5]FY20!$W:$AF,6,FALSE)</f>
        <v>42084.716600179105</v>
      </c>
      <c r="CE46" s="52">
        <f>VLOOKUP($A46,[5]FY21!$W:$AF,3,FALSE)</f>
        <v>57390.669483426384</v>
      </c>
      <c r="CF46" s="52">
        <f>VLOOKUP($A46,[5]FY21!$W:$AF,4,FALSE)</f>
        <v>59675.034482758623</v>
      </c>
      <c r="CG46" s="52">
        <f>VLOOKUP($A46,[5]FY21!$W:$AF,5,FALSE)</f>
        <v>54469.308176100625</v>
      </c>
      <c r="CH46" s="52">
        <f>VLOOKUP($A46,[5]FY21!$W:$AF,6,FALSE)</f>
        <v>41672.574273072059</v>
      </c>
      <c r="CI46" s="37">
        <f>VLOOKUP($A46,[5]FY22!$W:$AF,3,FALSE)</f>
        <v>58782.973596513708</v>
      </c>
      <c r="CJ46" s="37">
        <f>VLOOKUP($A46,[5]FY22!$W:$AF,4,FALSE)</f>
        <v>60842.65517241379</v>
      </c>
      <c r="CK46" s="37">
        <f>VLOOKUP($A46,[5]FY22!$W:$AF,5,FALSE)</f>
        <v>61379.668246445493</v>
      </c>
      <c r="CL46" s="37">
        <f>VLOOKUP($A46,[5]FY22!$W:$AF,6,FALSE)</f>
        <v>45541.721428571429</v>
      </c>
      <c r="CM46" s="52">
        <f>VLOOKUP($A46,[5]FY23!$W:$AF,3,FALSE)</f>
        <v>60868.339869281044</v>
      </c>
      <c r="CN46" s="52">
        <f>VLOOKUP($A46,[5]FY23!$W:$AF,4,FALSE)</f>
        <v>94252.25</v>
      </c>
      <c r="CO46" s="52">
        <f>VLOOKUP($A46,[5]FY23!$W:$AF,5,FALSE)</f>
        <v>64662.164502164502</v>
      </c>
      <c r="CP46" s="52">
        <f>VLOOKUP($A46,[5]FY23!$W:$AF,6,FALSE)</f>
        <v>50502.891891891893</v>
      </c>
      <c r="CQ46" s="5">
        <v>0.748</v>
      </c>
      <c r="CR46" s="4">
        <v>0.83499999999999996</v>
      </c>
      <c r="CS46" s="4">
        <v>0.754</v>
      </c>
      <c r="CT46" s="4">
        <v>0.81</v>
      </c>
      <c r="CU46" s="4">
        <v>0.74199999999999999</v>
      </c>
      <c r="CV46" s="4">
        <v>0.83699999999999997</v>
      </c>
      <c r="CW46" s="4">
        <v>0.68400000000000005</v>
      </c>
      <c r="CX46" s="4">
        <v>0.81200000000000006</v>
      </c>
      <c r="CY46" t="s">
        <v>223</v>
      </c>
      <c r="CZ46" t="s">
        <v>223</v>
      </c>
      <c r="DA46" t="s">
        <v>223</v>
      </c>
      <c r="DB46">
        <v>0</v>
      </c>
      <c r="DC46">
        <v>0</v>
      </c>
      <c r="DD46">
        <v>3</v>
      </c>
      <c r="DE46">
        <v>0</v>
      </c>
      <c r="DF46">
        <v>0</v>
      </c>
      <c r="DG46">
        <v>0</v>
      </c>
      <c r="DH46">
        <v>0</v>
      </c>
      <c r="DI46">
        <v>3</v>
      </c>
      <c r="DJ46">
        <v>0</v>
      </c>
      <c r="DK46">
        <v>0</v>
      </c>
      <c r="DL46">
        <v>0</v>
      </c>
      <c r="DM46">
        <v>1</v>
      </c>
      <c r="DN46">
        <v>0</v>
      </c>
      <c r="DO46">
        <v>2</v>
      </c>
      <c r="DP46">
        <v>0</v>
      </c>
      <c r="DQ46" s="5">
        <v>0</v>
      </c>
      <c r="DR46" s="5">
        <v>0</v>
      </c>
      <c r="DS46" s="5">
        <v>1</v>
      </c>
      <c r="DT46" s="5">
        <v>0</v>
      </c>
      <c r="DU46" s="5">
        <v>0</v>
      </c>
      <c r="DV46" s="5">
        <v>0</v>
      </c>
      <c r="DW46" s="5">
        <v>0</v>
      </c>
      <c r="DX46" s="5">
        <v>1</v>
      </c>
      <c r="DY46" s="5">
        <v>0</v>
      </c>
      <c r="DZ46" s="5">
        <v>0</v>
      </c>
      <c r="EA46" s="5">
        <v>0</v>
      </c>
      <c r="EB46" s="5">
        <v>0.33300000000000002</v>
      </c>
      <c r="EC46" s="5">
        <v>0</v>
      </c>
      <c r="ED46" s="5">
        <v>0.66700000000000004</v>
      </c>
      <c r="EE46" s="5">
        <v>0</v>
      </c>
      <c r="EF46" s="36">
        <f>VLOOKUP($A46,'[6]Updated (2)'!$A$2:$Q$54,2,FALSE)</f>
        <v>0</v>
      </c>
      <c r="EG46" s="36">
        <f>VLOOKUP($A46,'[6]Updated (2)'!$A$2:$Q$54,3,FALSE)</f>
        <v>0</v>
      </c>
      <c r="EH46" s="36">
        <f>VLOOKUP($A46,'[6]Updated (2)'!$A$2:$Q$54,4,FALSE)</f>
        <v>0</v>
      </c>
      <c r="EI46" s="36">
        <f>VLOOKUP($A46,'[6]Updated (2)'!$A$2:$Q$54,5,FALSE)</f>
        <v>0</v>
      </c>
      <c r="EJ46" s="48">
        <f>VLOOKUP($A46,'[6]Updated (2)'!$A$2:$Q$54,6,FALSE)</f>
        <v>0</v>
      </c>
      <c r="EK46" s="48">
        <f>VLOOKUP($A46,'[6]Updated (2)'!$A$2:$Q$54,7,FALSE)</f>
        <v>0</v>
      </c>
      <c r="EL46" s="48">
        <f>VLOOKUP($A46,'[6]Updated (2)'!$A$2:$Q$54,8,FALSE)</f>
        <v>0</v>
      </c>
      <c r="EM46" s="48">
        <f>VLOOKUP($A46,'[6]Updated (2)'!$A$2:$Q$54,9,FALSE)</f>
        <v>0</v>
      </c>
      <c r="EN46" s="36">
        <f>VLOOKUP($A46,'[6]Updated (2)'!$A$2:$Q$54,10,FALSE)</f>
        <v>0</v>
      </c>
      <c r="EO46" s="36">
        <f>VLOOKUP($A46,'[6]Updated (2)'!$A$2:$Q$54,11,FALSE)</f>
        <v>0</v>
      </c>
      <c r="EP46" s="36">
        <f>VLOOKUP($A46,'[6]Updated (2)'!$A$2:$Q$54,12,FALSE)</f>
        <v>0</v>
      </c>
      <c r="EQ46" s="36">
        <f>VLOOKUP($A46,'[6]Updated (2)'!$A$2:$Q$54,13,FALSE)</f>
        <v>0</v>
      </c>
      <c r="ER46" s="48">
        <f>VLOOKUP($A46,'[6]Updated (2)'!$A$2:$Q$54,14,FALSE)</f>
        <v>0</v>
      </c>
      <c r="ES46" s="48">
        <f>VLOOKUP($A46,'[6]Updated (2)'!$A$2:$Q$54,15,FALSE)</f>
        <v>0</v>
      </c>
      <c r="ET46" s="48">
        <f>VLOOKUP($A46,'[6]Updated (2)'!$A$2:$Q$54,16,FALSE)</f>
        <v>0</v>
      </c>
      <c r="EU46" s="48">
        <f>VLOOKUP($A46,'[6]Updated (2)'!$A$2:$Q$54,17,FALSE)</f>
        <v>0</v>
      </c>
      <c r="EV46" s="37">
        <f>VLOOKUP($A46,[7]Totals!$A46:$F97,3,FALSE)-SUM(EF46:EI46)</f>
        <v>46267439.699999988</v>
      </c>
      <c r="EW46" s="37">
        <f>VLOOKUP($A46,[7]Totals!$A46:$F97,4,FALSE)-SUM(EJ46:EM46)</f>
        <v>51395406.165000066</v>
      </c>
      <c r="EX46" s="37">
        <f>VLOOKUP($A46,[7]Totals!$A46:$F97,5,FALSE)-SUM(EN46:EQ46)</f>
        <v>50567192.789999969</v>
      </c>
      <c r="EY46" s="37">
        <f>VLOOKUP($A46,[7]Totals!$A46:$F97,6,FALSE)-SUM(ER46:EU46)</f>
        <v>56592241.750000045</v>
      </c>
      <c r="EZ46" s="52">
        <f t="shared" si="22"/>
        <v>19493.831611500606</v>
      </c>
      <c r="FA46" s="52">
        <f t="shared" si="23"/>
        <v>21701.941595868691</v>
      </c>
      <c r="FB46" s="52">
        <f t="shared" si="24"/>
        <v>22386.156198259283</v>
      </c>
      <c r="FC46" s="52">
        <f t="shared" si="25"/>
        <v>25989.309742275633</v>
      </c>
      <c r="FD46" s="37">
        <f>VLOOKUP($A46,[8]Totals!$A$2:$F$54,3)-SUM(EF46:EI46)</f>
        <v>45126054.529999986</v>
      </c>
      <c r="FE46" s="37">
        <f>VLOOKUP($A46,[8]Totals!$A$2:$F$54,4)-SUM(EJ46:EM46)</f>
        <v>50584240.945000045</v>
      </c>
      <c r="FF46" s="37">
        <f>VLOOKUP($A46,[8]Totals!$A$2:$F$54,5)-SUM(EN46:EQ46)</f>
        <v>49108969.009999946</v>
      </c>
      <c r="FG46" s="37">
        <f>VLOOKUP($A46,[8]Totals!$A$2:$F$54,6)-SUM(ER46:EU46)</f>
        <v>54576259.740000017</v>
      </c>
      <c r="FH46" s="52">
        <f t="shared" si="26"/>
        <v>19012.932507246864</v>
      </c>
      <c r="FI46" s="52">
        <f t="shared" si="27"/>
        <v>21359.423430480041</v>
      </c>
      <c r="FJ46" s="52">
        <f t="shared" si="28"/>
        <v>21740.598802050568</v>
      </c>
      <c r="FK46" s="52">
        <f t="shared" si="29"/>
        <v>25063.49413093795</v>
      </c>
      <c r="FL46" s="37">
        <f>VLOOKUP($A46,[9]Totals!$A$3:$F$54,3)-SUM(EF46:EI46)</f>
        <v>40437691.719999962</v>
      </c>
      <c r="FM46" s="37">
        <f>VLOOKUP($A46,[9]Totals!$A$3:$F$54,4)-SUM(EJ46:EM46)</f>
        <v>40668164.365000032</v>
      </c>
      <c r="FN46" s="37">
        <f>VLOOKUP($A46,[9]Totals!$A$3:$F$54,5)-SUM(EN46:EQ46)</f>
        <v>42689647.359999977</v>
      </c>
      <c r="FO46" s="37">
        <f>VLOOKUP($A46,[9]Totals!$A$3:$F$54,6)-SUM(ER46:EU46)</f>
        <v>46378753.280000001</v>
      </c>
      <c r="FP46" s="52">
        <f t="shared" si="30"/>
        <v>17037.587518538479</v>
      </c>
      <c r="FQ46" s="52">
        <f t="shared" si="31"/>
        <v>17172.315460004069</v>
      </c>
      <c r="FR46" s="52">
        <f t="shared" si="32"/>
        <v>18898.757497144565</v>
      </c>
      <c r="FS46" s="52">
        <f t="shared" si="33"/>
        <v>21298.887394834488</v>
      </c>
      <c r="FT46" s="37">
        <f>VLOOKUP($A46,[10]Calculations!$AF$3:$AJ$54,2,FALSE)-EI46</f>
        <v>13023114.940000007</v>
      </c>
      <c r="FU46" s="37">
        <f>VLOOKUP($A46,[10]Calculations!$AF$3:$AJ$54,3,FALSE)-EM46</f>
        <v>12885108.115000002</v>
      </c>
      <c r="FV46" s="37">
        <f>VLOOKUP($A46,[10]Calculations!$AF$3:$AJ$54,4,FALSE)-EQ46</f>
        <v>13255480.579999998</v>
      </c>
      <c r="FW46" s="37">
        <f>VLOOKUP($A46,[10]Calculations!$AF$3:$AJ$54,5,FALSE)-EU46</f>
        <v>14022122.180708952</v>
      </c>
      <c r="FX46" s="52">
        <f t="shared" si="34"/>
        <v>24161.623265306134</v>
      </c>
      <c r="FY46" s="52">
        <f t="shared" si="35"/>
        <v>24084.314233644865</v>
      </c>
      <c r="FZ46" s="52">
        <f t="shared" si="36"/>
        <v>24730.374216417906</v>
      </c>
      <c r="GA46" s="52">
        <f t="shared" si="37"/>
        <v>24730.374216417906</v>
      </c>
    </row>
    <row r="47" spans="1:183" ht="15.75" x14ac:dyDescent="0.25">
      <c r="A47" s="66" t="s">
        <v>318</v>
      </c>
      <c r="B47" s="66" t="s">
        <v>319</v>
      </c>
      <c r="C47" s="67">
        <v>1</v>
      </c>
      <c r="D47" s="68" t="s">
        <v>299</v>
      </c>
      <c r="E47">
        <v>5</v>
      </c>
      <c r="F47" s="27">
        <v>994</v>
      </c>
      <c r="G47" s="27">
        <v>852</v>
      </c>
      <c r="H47" s="27">
        <v>938</v>
      </c>
      <c r="I47" s="27">
        <v>873</v>
      </c>
      <c r="J47" s="23">
        <v>90</v>
      </c>
      <c r="K47" s="23">
        <v>56</v>
      </c>
      <c r="L47" s="23">
        <v>77</v>
      </c>
      <c r="M47" s="23">
        <v>81</v>
      </c>
      <c r="N47" s="27">
        <v>904</v>
      </c>
      <c r="O47" s="27">
        <v>796</v>
      </c>
      <c r="P47" s="27">
        <v>861</v>
      </c>
      <c r="Q47" s="27">
        <v>792</v>
      </c>
      <c r="R47" s="25">
        <f>VLOOKUP($A47,'ADM, LTADM'!$B:$L,2,FALSE)</f>
        <v>1011.1899999999999</v>
      </c>
      <c r="S47" s="25">
        <f>VLOOKUP($A47,'ADM, LTADM'!$B:$L,3,FALSE)</f>
        <v>1011.5400000000001</v>
      </c>
      <c r="T47" s="25">
        <f>VLOOKUP($A47,'ADM, LTADM'!$B:$L,4,FALSE)</f>
        <v>992.8900000000001</v>
      </c>
      <c r="U47" s="25">
        <f>VLOOKUP($A47,'ADM, LTADM'!$B:$L,5,FALSE)</f>
        <v>944.65000000000009</v>
      </c>
      <c r="V47" s="29">
        <f>VLOOKUP($A47,'ADM, LTADM'!$B:$L,7,FALSE)</f>
        <v>1045.4099999999999</v>
      </c>
      <c r="W47" s="29">
        <f>VLOOKUP($A47,'ADM, LTADM'!$B:$L,8,FALSE)</f>
        <v>1017.68</v>
      </c>
      <c r="X47" s="29">
        <f>VLOOKUP($A47,'ADM, LTADM'!$B:$L,9,FALSE)</f>
        <v>1004.86</v>
      </c>
      <c r="Y47" s="29">
        <f>VLOOKUP($A47,'ADM, LTADM'!$B:$L,10,FALSE)</f>
        <v>971.8599999999999</v>
      </c>
      <c r="Z47" s="10">
        <v>1079.44</v>
      </c>
      <c r="AA47" s="10">
        <v>1060.7</v>
      </c>
      <c r="AB47" s="10">
        <v>1029.53</v>
      </c>
      <c r="AC47" s="10">
        <v>1018.49</v>
      </c>
      <c r="AD47" s="2">
        <v>0.40840517241379309</v>
      </c>
      <c r="AE47" s="2">
        <v>0.43532338308457713</v>
      </c>
      <c r="AF47" s="2">
        <v>0.43189755529685681</v>
      </c>
      <c r="AG47" s="2">
        <v>0.44627054361567636</v>
      </c>
      <c r="AH47" s="2">
        <f t="shared" si="38"/>
        <v>0.42520870359840907</v>
      </c>
      <c r="AI47" s="46">
        <f>VLOOKUP(A47,'[1]SU_SD IDEA 3-21'!$A:$B,2,FALSE)</f>
        <v>230</v>
      </c>
      <c r="AJ47" s="46">
        <f>VLOOKUP(A47,'[2]SU_SD IDEA 3-21'!$A:$B,2,FALSE)</f>
        <v>226</v>
      </c>
      <c r="AK47" s="46">
        <f>VLOOKUP(A47,'[3]SU_SD IDEA 3-21'!$A:$B,2,FALSE)</f>
        <v>242</v>
      </c>
      <c r="AL47" s="46">
        <f>VLOOKUP($A47,'[4]SU_SD IDEA 3-21'!$A:$B,2,FALSE)</f>
        <v>244</v>
      </c>
      <c r="AM47" s="22">
        <f t="shared" si="18"/>
        <v>0.22745478100060326</v>
      </c>
      <c r="AN47" s="22">
        <f t="shared" si="19"/>
        <v>0.2234217134270518</v>
      </c>
      <c r="AO47" s="22">
        <f t="shared" si="20"/>
        <v>0.24373294121201741</v>
      </c>
      <c r="AP47" s="22">
        <f t="shared" si="21"/>
        <v>0.25829672365426348</v>
      </c>
      <c r="AQ47" s="26" t="s">
        <v>222</v>
      </c>
      <c r="AR47" s="26" t="s">
        <v>222</v>
      </c>
      <c r="AS47" s="26" t="s">
        <v>222</v>
      </c>
      <c r="AT47" s="26" t="s">
        <v>222</v>
      </c>
      <c r="AU47" s="2">
        <v>0.51470588235294112</v>
      </c>
      <c r="AV47" s="2">
        <v>0.57653061224489799</v>
      </c>
      <c r="AW47" s="2">
        <v>0.65573770491803274</v>
      </c>
      <c r="AX47" s="2">
        <v>0.55965292841648595</v>
      </c>
      <c r="AY47" s="2">
        <v>0.56372549019607843</v>
      </c>
      <c r="AZ47" s="2">
        <v>0.40500000000000003</v>
      </c>
      <c r="BA47" s="2">
        <v>0.41935483870967744</v>
      </c>
      <c r="BB47" s="2">
        <v>0.47639484978540775</v>
      </c>
      <c r="BC47" s="2">
        <v>0.48868778280542985</v>
      </c>
      <c r="BD47" s="2">
        <v>0.63076923076923075</v>
      </c>
      <c r="BE47" s="2" t="s">
        <v>222</v>
      </c>
      <c r="BF47" s="8">
        <v>0.52</v>
      </c>
      <c r="BG47" s="2">
        <v>0.3755656108597285</v>
      </c>
      <c r="BH47" s="2">
        <v>0.58461538461538465</v>
      </c>
      <c r="BI47" s="2" t="s">
        <v>222</v>
      </c>
      <c r="BJ47" s="8">
        <v>0.42</v>
      </c>
      <c r="BK47" s="31">
        <f>VLOOKUP($A47,[5]FY20!$W:$AF,7,FALSE)</f>
        <v>10.767605633802816</v>
      </c>
      <c r="BL47" s="31">
        <f>VLOOKUP($A47,[5]FY20!$W:$AF,8,FALSE)</f>
        <v>1.8812877263581491</v>
      </c>
      <c r="BM47" s="31">
        <f>VLOOKUP($A47,[5]FY20!$W:$AF,9,FALSE)</f>
        <v>3.028169014084507</v>
      </c>
      <c r="BN47" s="31">
        <f>VLOOKUP($A47,[5]FY20!$W:$AF,10,FALSE)</f>
        <v>4.3088531187122729</v>
      </c>
      <c r="BO47" s="55">
        <f>VLOOKUP($A47,[5]FY21!$W:$AF,7,FALSE)</f>
        <v>9.8792756539235427</v>
      </c>
      <c r="BP47" s="55">
        <f>VLOOKUP($A47,[5]FY21!$W:$AF,8,FALSE)</f>
        <v>1.6288732394366199</v>
      </c>
      <c r="BQ47" s="55">
        <f>VLOOKUP($A47,[5]FY21!$W:$AF,9,FALSE)</f>
        <v>2.6911468812877262</v>
      </c>
      <c r="BR47" s="55">
        <f>VLOOKUP($A47,[5]FY21!$W:$AF,10,FALSE)</f>
        <v>4.1793762575452709</v>
      </c>
      <c r="BS47" s="31">
        <f>VLOOKUP($A47,[5]FY22!$W:$AF,7,FALSE)</f>
        <v>11.169570267131244</v>
      </c>
      <c r="BT47" s="31">
        <f>VLOOKUP($A47,[5]FY22!$W:$AF,8,FALSE)</f>
        <v>1.8583042973286876</v>
      </c>
      <c r="BU47" s="31">
        <f>VLOOKUP($A47,[5]FY22!$W:$AF,9,FALSE)</f>
        <v>3.2543554006968636</v>
      </c>
      <c r="BV47" s="31">
        <f>VLOOKUP($A47,[5]FY22!$W:$AF,10,FALSE)</f>
        <v>5.0975609756097553</v>
      </c>
      <c r="BW47" s="55">
        <f>VLOOKUP($A47,[5]FY23!$W:$AF,7,FALSE)</f>
        <v>12.386363636363635</v>
      </c>
      <c r="BX47" s="55">
        <f>VLOOKUP($A47,[5]FY23!$W:$AF,8,FALSE)</f>
        <v>2.3232323232323231</v>
      </c>
      <c r="BY47" s="55">
        <f>VLOOKUP($A47,[5]FY23!$W:$AF,9,FALSE)</f>
        <v>3.6439393939393931</v>
      </c>
      <c r="BZ47" s="55">
        <f>VLOOKUP($A47,[5]FY23!$W:$AF,10,FALSE)</f>
        <v>5.2323232323232309</v>
      </c>
      <c r="CA47" s="37">
        <f>VLOOKUP($A47,[5]FY20!$W:$AF,3,FALSE)</f>
        <v>57942.277866018878</v>
      </c>
      <c r="CB47" s="37">
        <f>VLOOKUP($A47,[5]FY20!$W:$AF,4,FALSE)</f>
        <v>76076.363636363618</v>
      </c>
      <c r="CC47" s="37">
        <f>VLOOKUP($A47,[5]FY20!$W:$AF,5,FALSE)</f>
        <v>53546.885382059801</v>
      </c>
      <c r="CD47" s="37">
        <f>VLOOKUP($A47,[5]FY20!$W:$AF,6,FALSE)</f>
        <v>39925.031519962649</v>
      </c>
      <c r="CE47" s="52">
        <f>VLOOKUP($A47,[5]FY21!$W:$AF,3,FALSE)</f>
        <v>59443.177189409362</v>
      </c>
      <c r="CF47" s="52">
        <f>VLOOKUP($A47,[5]FY21!$W:$AF,4,FALSE)</f>
        <v>74413.933666851939</v>
      </c>
      <c r="CG47" s="52">
        <f>VLOOKUP($A47,[5]FY21!$W:$AF,5,FALSE)</f>
        <v>50728.785046728975</v>
      </c>
      <c r="CH47" s="52">
        <f>VLOOKUP($A47,[5]FY21!$W:$AF,6,FALSE)</f>
        <v>39659.26870952989</v>
      </c>
      <c r="CI47" s="37">
        <f>VLOOKUP($A47,[5]FY22!$W:$AF,3,FALSE)</f>
        <v>61087.917229905375</v>
      </c>
      <c r="CJ47" s="37">
        <f>VLOOKUP($A47,[5]FY22!$W:$AF,4,FALSE)</f>
        <v>80097.9375</v>
      </c>
      <c r="CK47" s="37">
        <f>VLOOKUP($A47,[5]FY22!$W:$AF,5,FALSE)</f>
        <v>52059.957173447547</v>
      </c>
      <c r="CL47" s="37">
        <f>VLOOKUP($A47,[5]FY22!$W:$AF,6,FALSE)</f>
        <v>42994.190020505819</v>
      </c>
      <c r="CM47" s="52">
        <f>VLOOKUP($A47,[5]FY23!$W:$AF,3,FALSE)</f>
        <v>64375.076452599395</v>
      </c>
      <c r="CN47" s="52">
        <f>VLOOKUP($A47,[5]FY23!$W:$AF,4,FALSE)</f>
        <v>77910.815217391311</v>
      </c>
      <c r="CO47" s="52">
        <f>VLOOKUP($A47,[5]FY23!$W:$AF,5,FALSE)</f>
        <v>58044.282744282755</v>
      </c>
      <c r="CP47" s="52">
        <f>VLOOKUP($A47,[5]FY23!$W:$AF,6,FALSE)</f>
        <v>44327.799227799238</v>
      </c>
      <c r="CQ47" s="5">
        <v>0.78800000000000003</v>
      </c>
      <c r="CR47" s="4">
        <v>0.83099999999999996</v>
      </c>
      <c r="CS47" s="4">
        <v>0.74099999999999999</v>
      </c>
      <c r="CT47" s="4">
        <v>0.79400000000000004</v>
      </c>
      <c r="CU47" s="4">
        <v>0.79300000000000004</v>
      </c>
      <c r="CV47" s="4">
        <v>0.82399999999999995</v>
      </c>
      <c r="CW47" s="4">
        <v>0.67600000000000005</v>
      </c>
      <c r="CX47" s="4">
        <v>0.80300000000000005</v>
      </c>
      <c r="CY47" t="s">
        <v>223</v>
      </c>
      <c r="CZ47" t="s">
        <v>223</v>
      </c>
      <c r="DA47" t="s">
        <v>223</v>
      </c>
      <c r="DB47">
        <v>0</v>
      </c>
      <c r="DC47">
        <v>1</v>
      </c>
      <c r="DD47">
        <v>4</v>
      </c>
      <c r="DE47">
        <v>0</v>
      </c>
      <c r="DF47">
        <v>0</v>
      </c>
      <c r="DG47">
        <v>0</v>
      </c>
      <c r="DH47">
        <v>1</v>
      </c>
      <c r="DI47">
        <v>4</v>
      </c>
      <c r="DJ47">
        <v>0</v>
      </c>
      <c r="DK47">
        <v>0</v>
      </c>
      <c r="DL47">
        <v>1</v>
      </c>
      <c r="DM47">
        <v>0</v>
      </c>
      <c r="DN47">
        <v>3</v>
      </c>
      <c r="DO47">
        <v>1</v>
      </c>
      <c r="DP47">
        <v>0</v>
      </c>
      <c r="DQ47" s="5">
        <v>0</v>
      </c>
      <c r="DR47" s="5">
        <v>0.2</v>
      </c>
      <c r="DS47" s="5">
        <v>0.8</v>
      </c>
      <c r="DT47" s="5">
        <v>0</v>
      </c>
      <c r="DU47" s="5">
        <v>0</v>
      </c>
      <c r="DV47" s="5">
        <v>0</v>
      </c>
      <c r="DW47" s="5">
        <v>0.2</v>
      </c>
      <c r="DX47" s="5">
        <v>0.8</v>
      </c>
      <c r="DY47" s="5">
        <v>0</v>
      </c>
      <c r="DZ47" s="5">
        <v>0</v>
      </c>
      <c r="EA47" s="5">
        <v>0.2</v>
      </c>
      <c r="EB47" s="5">
        <v>0</v>
      </c>
      <c r="EC47" s="5">
        <v>0.6</v>
      </c>
      <c r="ED47" s="5">
        <v>0.2</v>
      </c>
      <c r="EE47" s="5">
        <v>0</v>
      </c>
      <c r="EF47" s="36">
        <f>VLOOKUP($A47,'[6]Updated (2)'!$A$2:$Q$54,2,FALSE)</f>
        <v>0</v>
      </c>
      <c r="EG47" s="36">
        <f>VLOOKUP($A47,'[6]Updated (2)'!$A$2:$Q$54,3,FALSE)</f>
        <v>0</v>
      </c>
      <c r="EH47" s="36">
        <f>VLOOKUP($A47,'[6]Updated (2)'!$A$2:$Q$54,4,FALSE)</f>
        <v>0</v>
      </c>
      <c r="EI47" s="36">
        <f>VLOOKUP($A47,'[6]Updated (2)'!$A$2:$Q$54,5,FALSE)</f>
        <v>0</v>
      </c>
      <c r="EJ47" s="48">
        <f>VLOOKUP($A47,'[6]Updated (2)'!$A$2:$Q$54,6,FALSE)</f>
        <v>0</v>
      </c>
      <c r="EK47" s="48">
        <f>VLOOKUP($A47,'[6]Updated (2)'!$A$2:$Q$54,7,FALSE)</f>
        <v>0</v>
      </c>
      <c r="EL47" s="48">
        <f>VLOOKUP($A47,'[6]Updated (2)'!$A$2:$Q$54,8,FALSE)</f>
        <v>0</v>
      </c>
      <c r="EM47" s="48">
        <f>VLOOKUP($A47,'[6]Updated (2)'!$A$2:$Q$54,9,FALSE)</f>
        <v>0</v>
      </c>
      <c r="EN47" s="36">
        <f>VLOOKUP($A47,'[6]Updated (2)'!$A$2:$Q$54,10,FALSE)</f>
        <v>0</v>
      </c>
      <c r="EO47" s="36">
        <f>VLOOKUP($A47,'[6]Updated (2)'!$A$2:$Q$54,11,FALSE)</f>
        <v>0</v>
      </c>
      <c r="EP47" s="36">
        <f>VLOOKUP($A47,'[6]Updated (2)'!$A$2:$Q$54,12,FALSE)</f>
        <v>0</v>
      </c>
      <c r="EQ47" s="36">
        <f>VLOOKUP($A47,'[6]Updated (2)'!$A$2:$Q$54,13,FALSE)</f>
        <v>0</v>
      </c>
      <c r="ER47" s="48">
        <f>VLOOKUP($A47,'[6]Updated (2)'!$A$2:$Q$54,14,FALSE)</f>
        <v>0</v>
      </c>
      <c r="ES47" s="48">
        <f>VLOOKUP($A47,'[6]Updated (2)'!$A$2:$Q$54,15,FALSE)</f>
        <v>0</v>
      </c>
      <c r="ET47" s="48">
        <f>VLOOKUP($A47,'[6]Updated (2)'!$A$2:$Q$54,16,FALSE)</f>
        <v>0</v>
      </c>
      <c r="EU47" s="48">
        <f>VLOOKUP($A47,'[6]Updated (2)'!$A$2:$Q$54,17,FALSE)</f>
        <v>0</v>
      </c>
      <c r="EV47" s="37">
        <f>VLOOKUP($A47,[7]Totals!$A47:$F98,3,FALSE)-SUM(EF47:EI47)</f>
        <v>25396314.460000001</v>
      </c>
      <c r="EW47" s="37">
        <f>VLOOKUP($A47,[7]Totals!$A47:$F98,4,FALSE)-SUM(EJ47:EM47)</f>
        <v>25393328.349999968</v>
      </c>
      <c r="EX47" s="37">
        <f>VLOOKUP($A47,[7]Totals!$A47:$F98,5,FALSE)-SUM(EN47:EQ47)</f>
        <v>27948342.49000001</v>
      </c>
      <c r="EY47" s="37">
        <f>VLOOKUP($A47,[7]Totals!$A47:$F98,6,FALSE)-SUM(ER47:EU47)</f>
        <v>30154686.989999987</v>
      </c>
      <c r="EZ47" s="52">
        <f t="shared" si="22"/>
        <v>24293.161974727624</v>
      </c>
      <c r="FA47" s="52">
        <f t="shared" si="23"/>
        <v>24952.173915179595</v>
      </c>
      <c r="FB47" s="52">
        <f t="shared" si="24"/>
        <v>27813.170481460114</v>
      </c>
      <c r="FC47" s="52">
        <f t="shared" si="25"/>
        <v>31027.809550758331</v>
      </c>
      <c r="FD47" s="37">
        <f>VLOOKUP($A47,[8]Totals!$A$2:$F$54,3)-SUM(EF47:EI47)</f>
        <v>25132007.960000001</v>
      </c>
      <c r="FE47" s="37">
        <f>VLOOKUP($A47,[8]Totals!$A$2:$F$54,4)-SUM(EJ47:EM47)</f>
        <v>25322826.419999972</v>
      </c>
      <c r="FF47" s="37">
        <f>VLOOKUP($A47,[8]Totals!$A$2:$F$54,5)-SUM(EN47:EQ47)</f>
        <v>27831096.09</v>
      </c>
      <c r="FG47" s="37">
        <f>VLOOKUP($A47,[8]Totals!$A$2:$F$54,6)-SUM(ER47:EU47)</f>
        <v>29850769.310000014</v>
      </c>
      <c r="FH47" s="52">
        <f t="shared" si="26"/>
        <v>24040.336289111452</v>
      </c>
      <c r="FI47" s="52">
        <f t="shared" si="27"/>
        <v>24882.896804496475</v>
      </c>
      <c r="FJ47" s="52">
        <f t="shared" si="28"/>
        <v>27696.491143044801</v>
      </c>
      <c r="FK47" s="52">
        <f t="shared" si="29"/>
        <v>30715.091998847587</v>
      </c>
      <c r="FL47" s="37">
        <f>VLOOKUP($A47,[9]Totals!$A$3:$F$54,3)-SUM(EF47:EI47)</f>
        <v>23323037.320000026</v>
      </c>
      <c r="FM47" s="37">
        <f>VLOOKUP($A47,[9]Totals!$A$3:$F$54,4)-SUM(EJ47:EM47)</f>
        <v>22640527.689999949</v>
      </c>
      <c r="FN47" s="37">
        <f>VLOOKUP($A47,[9]Totals!$A$3:$F$54,5)-SUM(EN47:EQ47)</f>
        <v>24533623.019999977</v>
      </c>
      <c r="FO47" s="37">
        <f>VLOOKUP($A47,[9]Totals!$A$3:$F$54,6)-SUM(ER47:EU47)</f>
        <v>25660108.139999993</v>
      </c>
      <c r="FP47" s="52">
        <f t="shared" si="30"/>
        <v>22309.942816693958</v>
      </c>
      <c r="FQ47" s="52">
        <f t="shared" si="31"/>
        <v>22247.197242748163</v>
      </c>
      <c r="FR47" s="52">
        <f t="shared" si="32"/>
        <v>24414.966283860416</v>
      </c>
      <c r="FS47" s="52">
        <f t="shared" si="33"/>
        <v>26403.091124235998</v>
      </c>
      <c r="FT47" s="37">
        <f>VLOOKUP($A47,[10]Calculations!$AF$3:$AJ$54,2,FALSE)-EI47</f>
        <v>6106897.8500000015</v>
      </c>
      <c r="FU47" s="37">
        <f>VLOOKUP($A47,[10]Calculations!$AF$3:$AJ$54,3,FALSE)-EM47</f>
        <v>6089844.3600000031</v>
      </c>
      <c r="FV47" s="37">
        <f>VLOOKUP($A47,[10]Calculations!$AF$3:$AJ$54,4,FALSE)-EQ47</f>
        <v>7436513.7500000028</v>
      </c>
      <c r="FW47" s="37">
        <f>VLOOKUP($A47,[10]Calculations!$AF$3:$AJ$54,5,FALSE)-EU47</f>
        <v>7497972.541322317</v>
      </c>
      <c r="FX47" s="52">
        <f t="shared" si="34"/>
        <v>26551.729782608701</v>
      </c>
      <c r="FY47" s="52">
        <f t="shared" si="35"/>
        <v>26946.213982300898</v>
      </c>
      <c r="FZ47" s="52">
        <f t="shared" si="36"/>
        <v>30729.395661157036</v>
      </c>
      <c r="GA47" s="52">
        <f t="shared" si="37"/>
        <v>30729.395661157036</v>
      </c>
    </row>
    <row r="48" spans="1:183" ht="15.75" x14ac:dyDescent="0.25">
      <c r="A48" s="66" t="s">
        <v>320</v>
      </c>
      <c r="B48" s="66" t="s">
        <v>321</v>
      </c>
      <c r="C48" s="67">
        <v>1</v>
      </c>
      <c r="D48" s="68" t="s">
        <v>299</v>
      </c>
      <c r="E48">
        <v>2</v>
      </c>
      <c r="F48" s="27">
        <v>451</v>
      </c>
      <c r="G48" s="27">
        <v>465</v>
      </c>
      <c r="H48" s="27">
        <v>465</v>
      </c>
      <c r="I48" s="27">
        <v>427</v>
      </c>
      <c r="J48" s="23">
        <v>42</v>
      </c>
      <c r="K48" s="23">
        <v>33</v>
      </c>
      <c r="L48" s="23">
        <v>38</v>
      </c>
      <c r="M48" s="23">
        <v>40</v>
      </c>
      <c r="N48" s="27">
        <v>408</v>
      </c>
      <c r="O48" s="27">
        <v>426</v>
      </c>
      <c r="P48" s="27">
        <v>424</v>
      </c>
      <c r="Q48" s="27">
        <v>382</v>
      </c>
      <c r="R48" s="25">
        <f>VLOOKUP($A48,'ADM, LTADM'!$B:$L,2,FALSE)</f>
        <v>305.38</v>
      </c>
      <c r="S48" s="25">
        <f>VLOOKUP($A48,'ADM, LTADM'!$B:$L,3,FALSE)</f>
        <v>303.63</v>
      </c>
      <c r="T48" s="25">
        <f>VLOOKUP($A48,'ADM, LTADM'!$B:$L,4,FALSE)</f>
        <v>292.20999999999998</v>
      </c>
      <c r="U48" s="25">
        <f>VLOOKUP($A48,'ADM, LTADM'!$B:$L,5,FALSE)</f>
        <v>289.72000000000003</v>
      </c>
      <c r="V48" s="29">
        <f>VLOOKUP($A48,'ADM, LTADM'!$B:$L,7,FALSE)</f>
        <v>310.27000000000004</v>
      </c>
      <c r="W48" s="29">
        <f>VLOOKUP($A48,'ADM, LTADM'!$B:$L,8,FALSE)</f>
        <v>305.63</v>
      </c>
      <c r="X48" s="29">
        <f>VLOOKUP($A48,'ADM, LTADM'!$B:$L,9,FALSE)</f>
        <v>298.92999999999995</v>
      </c>
      <c r="Y48" s="29">
        <f>VLOOKUP($A48,'ADM, LTADM'!$B:$L,10,FALSE)</f>
        <v>291.18</v>
      </c>
      <c r="Z48" s="10">
        <v>315.92</v>
      </c>
      <c r="AA48" s="10">
        <v>308.39999999999998</v>
      </c>
      <c r="AB48" s="10">
        <v>309.24</v>
      </c>
      <c r="AC48" s="10">
        <v>305.19</v>
      </c>
      <c r="AD48" s="2">
        <v>0.41062801932367149</v>
      </c>
      <c r="AE48" s="2">
        <v>0.46844660194174759</v>
      </c>
      <c r="AF48" s="2">
        <v>0.46766169154228854</v>
      </c>
      <c r="AG48" s="2">
        <v>0.32731958762886598</v>
      </c>
      <c r="AH48" s="2">
        <f t="shared" si="38"/>
        <v>0.44891210426923589</v>
      </c>
      <c r="AI48" s="46">
        <f>VLOOKUP(A48,'[1]SU_SD IDEA 3-21'!$A:$B,2,FALSE)</f>
        <v>91</v>
      </c>
      <c r="AJ48" s="46">
        <f>VLOOKUP(A48,'[2]SU_SD IDEA 3-21'!$A:$B,2,FALSE)</f>
        <v>90</v>
      </c>
      <c r="AK48" s="46">
        <f>VLOOKUP(A48,'[3]SU_SD IDEA 3-21'!$A:$B,2,FALSE)</f>
        <v>89</v>
      </c>
      <c r="AL48" s="46">
        <f>VLOOKUP($A48,'[4]SU_SD IDEA 3-21'!$A:$B,2,FALSE)</f>
        <v>103</v>
      </c>
      <c r="AM48" s="22">
        <f t="shared" si="18"/>
        <v>0.29798939026786297</v>
      </c>
      <c r="AN48" s="22">
        <f t="shared" si="19"/>
        <v>0.29641339788558441</v>
      </c>
      <c r="AO48" s="22">
        <f t="shared" si="20"/>
        <v>0.30457547654084394</v>
      </c>
      <c r="AP48" s="22">
        <f t="shared" si="21"/>
        <v>0.35551567030236086</v>
      </c>
      <c r="AQ48" s="26" t="s">
        <v>222</v>
      </c>
      <c r="AR48" s="26" t="s">
        <v>222</v>
      </c>
      <c r="AS48" s="26" t="s">
        <v>222</v>
      </c>
      <c r="AT48" s="26">
        <v>0</v>
      </c>
      <c r="AU48" s="2">
        <v>0.46753246753246752</v>
      </c>
      <c r="AV48" s="2" t="s">
        <v>222</v>
      </c>
      <c r="AW48" s="2" t="s">
        <v>222</v>
      </c>
      <c r="AX48" s="2">
        <v>0.46753246753246752</v>
      </c>
      <c r="AY48" s="2">
        <v>0.4935064935064935</v>
      </c>
      <c r="AZ48" s="2" t="s">
        <v>222</v>
      </c>
      <c r="BA48" s="2" t="s">
        <v>222</v>
      </c>
      <c r="BB48" s="2">
        <v>0.4935064935064935</v>
      </c>
      <c r="BC48" s="2">
        <v>0.51851851851851849</v>
      </c>
      <c r="BD48" s="2">
        <v>0.45945945945945948</v>
      </c>
      <c r="BE48" s="2">
        <v>0.45238095238095238</v>
      </c>
      <c r="BF48" s="8">
        <v>0.48</v>
      </c>
      <c r="BG48" s="2">
        <v>0.4567901234567901</v>
      </c>
      <c r="BH48" s="2">
        <v>0.35135135135135137</v>
      </c>
      <c r="BI48" s="2">
        <v>0.41860465116279072</v>
      </c>
      <c r="BJ48" s="8">
        <v>0.4</v>
      </c>
      <c r="BK48" s="31">
        <f>VLOOKUP($A48,[5]FY20!$W:$AF,7,FALSE)</f>
        <v>10.368070953436808</v>
      </c>
      <c r="BL48" s="31">
        <f>VLOOKUP($A48,[5]FY20!$W:$AF,8,FALSE)</f>
        <v>1.6186252771618626</v>
      </c>
      <c r="BM48" s="31">
        <f>VLOOKUP($A48,[5]FY20!$W:$AF,9,FALSE)</f>
        <v>1.3968957871396896</v>
      </c>
      <c r="BN48" s="31">
        <f>VLOOKUP($A48,[5]FY20!$W:$AF,10,FALSE)</f>
        <v>5.0953436807095338</v>
      </c>
      <c r="BO48" s="55">
        <f>VLOOKUP($A48,[5]FY21!$W:$AF,7,FALSE)</f>
        <v>11.033259423503328</v>
      </c>
      <c r="BP48" s="55">
        <f>VLOOKUP($A48,[5]FY21!$W:$AF,8,FALSE)</f>
        <v>1.6186252771618626</v>
      </c>
      <c r="BQ48" s="55">
        <f>VLOOKUP($A48,[5]FY21!$W:$AF,9,FALSE)</f>
        <v>1.6186252771618626</v>
      </c>
      <c r="BR48" s="55">
        <f>VLOOKUP($A48,[5]FY21!$W:$AF,10,FALSE)</f>
        <v>4.9623059866962311</v>
      </c>
      <c r="BS48" s="31">
        <f>VLOOKUP($A48,[5]FY22!$W:$AF,7,FALSE)</f>
        <v>11.543325526932085</v>
      </c>
      <c r="BT48" s="31">
        <f>VLOOKUP($A48,[5]FY22!$W:$AF,8,FALSE)</f>
        <v>1.7096018735362997</v>
      </c>
      <c r="BU48" s="31">
        <f>VLOOKUP($A48,[5]FY22!$W:$AF,9,FALSE)</f>
        <v>2.5995316159250588</v>
      </c>
      <c r="BV48" s="31">
        <f>VLOOKUP($A48,[5]FY22!$W:$AF,10,FALSE)</f>
        <v>5.4754098360655741</v>
      </c>
      <c r="BW48" s="55">
        <f>VLOOKUP($A48,[5]FY23!$W:$AF,7,FALSE)</f>
        <v>12.413436692506458</v>
      </c>
      <c r="BX48" s="55">
        <f>VLOOKUP($A48,[5]FY23!$W:$AF,8,FALSE)</f>
        <v>1.7571059431524549</v>
      </c>
      <c r="BY48" s="55">
        <f>VLOOKUP($A48,[5]FY23!$W:$AF,9,FALSE)</f>
        <v>2.3255813953488373</v>
      </c>
      <c r="BZ48" s="55">
        <f>VLOOKUP($A48,[5]FY23!$W:$AF,10,FALSE)</f>
        <v>6.4909560723514215</v>
      </c>
      <c r="CA48" s="37">
        <f>VLOOKUP($A48,[5]FY20!$W:$AF,3,FALSE)</f>
        <v>55576.819503849445</v>
      </c>
      <c r="CB48" s="37">
        <f>VLOOKUP($A48,[5]FY20!$W:$AF,4,FALSE)</f>
        <v>96518.082191780821</v>
      </c>
      <c r="CC48" s="37">
        <f>VLOOKUP($A48,[5]FY20!$W:$AF,5,FALSE)</f>
        <v>58201.111111111109</v>
      </c>
      <c r="CD48" s="37">
        <f>VLOOKUP($A48,[5]FY20!$W:$AF,6,FALSE)</f>
        <v>39047.240208877287</v>
      </c>
      <c r="CE48" s="52">
        <f>VLOOKUP($A48,[5]FY21!$W:$AF,3,FALSE)</f>
        <v>56149.941921221864</v>
      </c>
      <c r="CF48" s="52">
        <f>VLOOKUP($A48,[5]FY21!$W:$AF,4,FALSE)</f>
        <v>97840.342465753434</v>
      </c>
      <c r="CG48" s="52">
        <f>VLOOKUP($A48,[5]FY21!$W:$AF,5,FALSE)</f>
        <v>53058.528767123287</v>
      </c>
      <c r="CH48" s="52">
        <f>VLOOKUP($A48,[5]FY21!$W:$AF,6,FALSE)</f>
        <v>41935.561663092027</v>
      </c>
      <c r="CI48" s="37">
        <f>VLOOKUP($A48,[5]FY22!$W:$AF,3,FALSE)</f>
        <v>59384.638060458507</v>
      </c>
      <c r="CJ48" s="37">
        <f>VLOOKUP($A48,[5]FY22!$W:$AF,4,FALSE)</f>
        <v>97837.054794520547</v>
      </c>
      <c r="CK48" s="37">
        <f>VLOOKUP($A48,[5]FY22!$W:$AF,5,FALSE)</f>
        <v>51448.230630630635</v>
      </c>
      <c r="CL48" s="37">
        <f>VLOOKUP($A48,[5]FY22!$W:$AF,6,FALSE)</f>
        <v>40016.510692899916</v>
      </c>
      <c r="CM48" s="52">
        <f>VLOOKUP($A48,[5]FY23!$W:$AF,3,FALSE)</f>
        <v>59978.80516236469</v>
      </c>
      <c r="CN48" s="52">
        <f>VLOOKUP($A48,[5]FY23!$W:$AF,4,FALSE)</f>
        <v>106028.38235294117</v>
      </c>
      <c r="CO48" s="52">
        <f>VLOOKUP($A48,[5]FY23!$W:$AF,5,FALSE)</f>
        <v>51015.977777777778</v>
      </c>
      <c r="CP48" s="52">
        <f>VLOOKUP($A48,[5]FY23!$W:$AF,6,FALSE)</f>
        <v>42025.244426751597</v>
      </c>
      <c r="CQ48" s="5">
        <v>0.8</v>
      </c>
      <c r="CR48" s="4">
        <v>0.86399999999999999</v>
      </c>
      <c r="CS48" s="4">
        <v>0.68500000000000005</v>
      </c>
      <c r="CT48" s="4">
        <v>0.97199999999999998</v>
      </c>
      <c r="CU48" s="4">
        <v>0.79300000000000004</v>
      </c>
      <c r="CV48" s="4">
        <v>0.82499999999999996</v>
      </c>
      <c r="CW48" s="4">
        <v>0.60699999999999998</v>
      </c>
      <c r="CX48" s="4">
        <v>0.74199999999999999</v>
      </c>
      <c r="CY48" t="s">
        <v>223</v>
      </c>
      <c r="CZ48" t="s">
        <v>223</v>
      </c>
      <c r="DA48" t="s">
        <v>228</v>
      </c>
      <c r="DB48">
        <v>0</v>
      </c>
      <c r="DC48">
        <v>0</v>
      </c>
      <c r="DD48">
        <v>3</v>
      </c>
      <c r="DE48">
        <v>0</v>
      </c>
      <c r="DF48">
        <v>0</v>
      </c>
      <c r="DG48">
        <v>0</v>
      </c>
      <c r="DH48">
        <v>2</v>
      </c>
      <c r="DI48">
        <v>1</v>
      </c>
      <c r="DJ48">
        <v>0</v>
      </c>
      <c r="DK48">
        <v>0</v>
      </c>
      <c r="DL48">
        <v>0</v>
      </c>
      <c r="DM48">
        <v>3</v>
      </c>
      <c r="DN48">
        <v>0</v>
      </c>
      <c r="DO48">
        <v>0</v>
      </c>
      <c r="DP48">
        <v>0</v>
      </c>
      <c r="DQ48" s="5">
        <v>0</v>
      </c>
      <c r="DR48" s="5">
        <v>0</v>
      </c>
      <c r="DS48" s="5">
        <v>1</v>
      </c>
      <c r="DT48" s="5">
        <v>0</v>
      </c>
      <c r="DU48" s="5">
        <v>0</v>
      </c>
      <c r="DV48" s="5">
        <v>0</v>
      </c>
      <c r="DW48" s="5">
        <v>0.66700000000000004</v>
      </c>
      <c r="DX48" s="5">
        <v>0.33300000000000002</v>
      </c>
      <c r="DY48" s="5">
        <v>0</v>
      </c>
      <c r="DZ48" s="5">
        <v>0</v>
      </c>
      <c r="EA48" s="5">
        <v>0</v>
      </c>
      <c r="EB48" s="5">
        <v>1</v>
      </c>
      <c r="EC48" s="5">
        <v>0</v>
      </c>
      <c r="ED48" s="5">
        <v>0</v>
      </c>
      <c r="EE48" s="5">
        <v>0</v>
      </c>
      <c r="EF48" s="36">
        <f>VLOOKUP($A48,'[6]Updated (2)'!$A$2:$Q$54,2,FALSE)</f>
        <v>0</v>
      </c>
      <c r="EG48" s="36">
        <f>VLOOKUP($A48,'[6]Updated (2)'!$A$2:$Q$54,3,FALSE)</f>
        <v>0</v>
      </c>
      <c r="EH48" s="36">
        <f>VLOOKUP($A48,'[6]Updated (2)'!$A$2:$Q$54,4,FALSE)</f>
        <v>0</v>
      </c>
      <c r="EI48" s="36">
        <f>VLOOKUP($A48,'[6]Updated (2)'!$A$2:$Q$54,5,FALSE)</f>
        <v>0</v>
      </c>
      <c r="EJ48" s="48">
        <f>VLOOKUP($A48,'[6]Updated (2)'!$A$2:$Q$54,6,FALSE)</f>
        <v>0</v>
      </c>
      <c r="EK48" s="48">
        <f>VLOOKUP($A48,'[6]Updated (2)'!$A$2:$Q$54,7,FALSE)</f>
        <v>0</v>
      </c>
      <c r="EL48" s="48">
        <f>VLOOKUP($A48,'[6]Updated (2)'!$A$2:$Q$54,8,FALSE)</f>
        <v>0</v>
      </c>
      <c r="EM48" s="48">
        <f>VLOOKUP($A48,'[6]Updated (2)'!$A$2:$Q$54,9,FALSE)</f>
        <v>0</v>
      </c>
      <c r="EN48" s="36">
        <f>VLOOKUP($A48,'[6]Updated (2)'!$A$2:$Q$54,10,FALSE)</f>
        <v>0</v>
      </c>
      <c r="EO48" s="36">
        <f>VLOOKUP($A48,'[6]Updated (2)'!$A$2:$Q$54,11,FALSE)</f>
        <v>0</v>
      </c>
      <c r="EP48" s="36">
        <f>VLOOKUP($A48,'[6]Updated (2)'!$A$2:$Q$54,12,FALSE)</f>
        <v>0</v>
      </c>
      <c r="EQ48" s="36">
        <f>VLOOKUP($A48,'[6]Updated (2)'!$A$2:$Q$54,13,FALSE)</f>
        <v>0</v>
      </c>
      <c r="ER48" s="48">
        <f>VLOOKUP($A48,'[6]Updated (2)'!$A$2:$Q$54,14,FALSE)</f>
        <v>0</v>
      </c>
      <c r="ES48" s="48">
        <f>VLOOKUP($A48,'[6]Updated (2)'!$A$2:$Q$54,15,FALSE)</f>
        <v>0</v>
      </c>
      <c r="ET48" s="48">
        <f>VLOOKUP($A48,'[6]Updated (2)'!$A$2:$Q$54,16,FALSE)</f>
        <v>0</v>
      </c>
      <c r="EU48" s="48">
        <f>VLOOKUP($A48,'[6]Updated (2)'!$A$2:$Q$54,17,FALSE)</f>
        <v>0</v>
      </c>
      <c r="EV48" s="37">
        <f>(VLOOKUP($A48,[7]Totals!$A48:$F99,3,FALSE)-SUM(EF48:EI48))*0.683301</f>
        <v>8192722.7474946799</v>
      </c>
      <c r="EW48" s="37">
        <f>(VLOOKUP($A48,[7]Totals!$A48:$F99,4,FALSE)-SUM(EJ48:EM48))*0.702806</f>
        <v>8302941.2989249928</v>
      </c>
      <c r="EX48" s="37">
        <f>(VLOOKUP($A48,[7]Totals!$A48:$F99,5,FALSE)-SUM(EN48:EQ48))*0.69503</f>
        <v>9284820.7052783053</v>
      </c>
      <c r="EY48" s="37">
        <f>(VLOOKUP($A48,[7]Totals!$A48:$F99,6,FALSE)-SUM(ER48:EU48))*0.68492</f>
        <v>9719994.6191551909</v>
      </c>
      <c r="EZ48" s="52">
        <f t="shared" si="22"/>
        <v>26405.139870095976</v>
      </c>
      <c r="FA48" s="52">
        <f t="shared" si="23"/>
        <v>27166.643650574202</v>
      </c>
      <c r="FB48" s="52">
        <f t="shared" si="24"/>
        <v>31060.183672693631</v>
      </c>
      <c r="FC48" s="52">
        <f t="shared" si="25"/>
        <v>33381.395079178481</v>
      </c>
      <c r="FD48" s="37">
        <f>(VLOOKUP($A48,[8]Totals!$A$2:$F$54,3)-SUM(EF48:EI48))*0.683301</f>
        <v>8024136.7773668282</v>
      </c>
      <c r="FE48" s="37">
        <f>(VLOOKUP($A48,[8]Totals!$A$2:$F$54,4)-SUM(EJ48:EM48))*0.702806</f>
        <v>8137258.7060824716</v>
      </c>
      <c r="FF48" s="37">
        <f>(VLOOKUP($A48,[8]Totals!$A$2:$F$54,5)-SUM(EN48:EQ48))*0.69503</f>
        <v>9073775.0195358004</v>
      </c>
      <c r="FG48" s="37">
        <f>(VLOOKUP($A48,[8]Totals!$A$2:$F$54,6)-SUM(ER48:EU48))*0.68492</f>
        <v>9446738.4291143902</v>
      </c>
      <c r="FH48" s="52">
        <f t="shared" si="26"/>
        <v>25861.78740247793</v>
      </c>
      <c r="FI48" s="52">
        <f t="shared" si="27"/>
        <v>26624.541786089296</v>
      </c>
      <c r="FJ48" s="52">
        <f t="shared" si="28"/>
        <v>30354.179973692175</v>
      </c>
      <c r="FK48" s="52">
        <f t="shared" si="29"/>
        <v>32442.950852099697</v>
      </c>
      <c r="FL48" s="37">
        <f>(VLOOKUP($A48,[9]Totals!$A$3:$F$54,3)-SUM(EF48:EI48))*0.683301</f>
        <v>7454848.2390422383</v>
      </c>
      <c r="FM48" s="37">
        <f>(VLOOKUP($A48,[9]Totals!$A$3:$F$54,4)-SUM(EJ48:EM48))*0.702806</f>
        <v>7547434.7795737814</v>
      </c>
      <c r="FN48" s="37">
        <f>(VLOOKUP($A48,[9]Totals!$A$3:$F$54,5)-SUM(EN48:EQ48))*0.69503</f>
        <v>8109719.8755909093</v>
      </c>
      <c r="FO48" s="37">
        <f>(VLOOKUP($A48,[9]Totals!$A$3:$F$54,6)-SUM(ER48:EU48))*0.68492</f>
        <v>8547429.7021384053</v>
      </c>
      <c r="FP48" s="52">
        <f t="shared" si="30"/>
        <v>24026.970828769256</v>
      </c>
      <c r="FQ48" s="52">
        <f t="shared" si="31"/>
        <v>24694.679120419401</v>
      </c>
      <c r="FR48" s="52">
        <f t="shared" si="32"/>
        <v>27129.160256885927</v>
      </c>
      <c r="FS48" s="52">
        <f t="shared" si="33"/>
        <v>29354.453266496344</v>
      </c>
      <c r="FT48" s="37">
        <f>(VLOOKUP($A48,[10]Calculations!$AF$3:$AJ$54,2,FALSE)-EI48)*0.683301</f>
        <v>1955308.8252979503</v>
      </c>
      <c r="FU48" s="37">
        <f>(VLOOKUP($A48,[10]Calculations!$AF$3:$AJ$54,3,FALSE)-EM48)*0.702806</f>
        <v>1729950.6999704801</v>
      </c>
      <c r="FV48" s="37">
        <f>(VLOOKUP($A48,[10]Calculations!$AF$3:$AJ$54,4,FALSE)-EQ48)*0.69503</f>
        <v>2095955.9044116007</v>
      </c>
      <c r="FW48" s="37">
        <f>(VLOOKUP($A48,[10]Calculations!$AF$3:$AJ$54,5,FALSE)-EU48)*0.68492</f>
        <v>2390372.9021656988</v>
      </c>
      <c r="FX48" s="52">
        <f t="shared" si="34"/>
        <v>21486.910168109345</v>
      </c>
      <c r="FY48" s="52">
        <f t="shared" si="35"/>
        <v>19221.674444116445</v>
      </c>
      <c r="FZ48" s="52">
        <f t="shared" si="36"/>
        <v>23550.066341703379</v>
      </c>
      <c r="GA48" s="52">
        <f t="shared" si="37"/>
        <v>23207.503904521349</v>
      </c>
    </row>
    <row r="49" spans="1:183" ht="15.75" x14ac:dyDescent="0.25">
      <c r="A49" s="66" t="s">
        <v>322</v>
      </c>
      <c r="B49" s="66" t="s">
        <v>323</v>
      </c>
      <c r="C49" s="67">
        <v>4</v>
      </c>
      <c r="D49" s="68" t="s">
        <v>221</v>
      </c>
      <c r="E49">
        <v>9</v>
      </c>
      <c r="F49" s="27">
        <v>3906</v>
      </c>
      <c r="G49" s="27">
        <v>3816</v>
      </c>
      <c r="H49" s="27">
        <v>3822</v>
      </c>
      <c r="I49" s="27">
        <v>3748</v>
      </c>
      <c r="J49" s="23">
        <v>359</v>
      </c>
      <c r="K49" s="23">
        <v>306</v>
      </c>
      <c r="L49" s="23">
        <v>348</v>
      </c>
      <c r="M49" s="23">
        <v>361</v>
      </c>
      <c r="N49" s="27">
        <v>3540</v>
      </c>
      <c r="O49" s="27">
        <v>3502</v>
      </c>
      <c r="P49" s="27">
        <v>3455</v>
      </c>
      <c r="Q49" s="27">
        <v>3370</v>
      </c>
      <c r="R49" s="25">
        <f>VLOOKUP($A49,'ADM, LTADM'!$B:$L,2,FALSE)</f>
        <v>3789.2199999999993</v>
      </c>
      <c r="S49" s="25">
        <f>VLOOKUP($A49,'ADM, LTADM'!$B:$L,3,FALSE)</f>
        <v>3789.1099999999992</v>
      </c>
      <c r="T49" s="25">
        <f>VLOOKUP($A49,'ADM, LTADM'!$B:$L,4,FALSE)</f>
        <v>3730.7899999999977</v>
      </c>
      <c r="U49" s="25">
        <f>VLOOKUP($A49,'ADM, LTADM'!$B:$L,5,FALSE)</f>
        <v>3643.6800000000003</v>
      </c>
      <c r="V49" s="29">
        <f>VLOOKUP($A49,'ADM, LTADM'!$B:$L,7,FALSE)</f>
        <v>3827.9199999999996</v>
      </c>
      <c r="W49" s="29">
        <f>VLOOKUP($A49,'ADM, LTADM'!$B:$L,8,FALSE)</f>
        <v>3793.8399999999997</v>
      </c>
      <c r="X49" s="29">
        <f>VLOOKUP($A49,'ADM, LTADM'!$B:$L,9,FALSE)</f>
        <v>3769.2799999999997</v>
      </c>
      <c r="Y49" s="29">
        <f>VLOOKUP($A49,'ADM, LTADM'!$B:$L,10,FALSE)</f>
        <v>3697.19</v>
      </c>
      <c r="Z49" s="10">
        <v>3823.2</v>
      </c>
      <c r="AA49" s="10">
        <v>3791.82</v>
      </c>
      <c r="AB49" s="10">
        <v>3762.61</v>
      </c>
      <c r="AC49" s="10">
        <v>3739.23</v>
      </c>
      <c r="AD49" s="2">
        <v>0.20219656434807096</v>
      </c>
      <c r="AE49" s="2">
        <v>0.2276098117512835</v>
      </c>
      <c r="AF49" s="2">
        <v>0.23845265588914549</v>
      </c>
      <c r="AG49" s="2">
        <v>0.17466863033873342</v>
      </c>
      <c r="AH49" s="2">
        <f t="shared" si="38"/>
        <v>0.22275301066283335</v>
      </c>
      <c r="AI49" s="46">
        <f>VLOOKUP(A49,'[1]SU_SD IDEA 3-21'!$A:$B,2,FALSE)</f>
        <v>584</v>
      </c>
      <c r="AJ49" s="46">
        <f>VLOOKUP(A49,'[2]SU_SD IDEA 3-21'!$A:$B,2,FALSE)</f>
        <v>580</v>
      </c>
      <c r="AK49" s="46">
        <f>VLOOKUP(A49,'[3]SU_SD IDEA 3-21'!$A:$B,2,FALSE)</f>
        <v>612</v>
      </c>
      <c r="AL49" s="46">
        <f>VLOOKUP($A49,'[4]SU_SD IDEA 3-21'!$A:$B,2,FALSE)</f>
        <v>613</v>
      </c>
      <c r="AM49" s="22">
        <f t="shared" si="18"/>
        <v>0.15412142868453141</v>
      </c>
      <c r="AN49" s="22">
        <f t="shared" si="19"/>
        <v>0.15307024604722483</v>
      </c>
      <c r="AO49" s="22">
        <f t="shared" si="20"/>
        <v>0.16404032389922787</v>
      </c>
      <c r="AP49" s="22">
        <f t="shared" si="21"/>
        <v>0.16823650814561103</v>
      </c>
      <c r="AQ49" s="26">
        <v>4.0270346381301045E-2</v>
      </c>
      <c r="AR49" s="26">
        <v>4.50656018254421E-2</v>
      </c>
      <c r="AS49" s="26">
        <v>4.8210161662817552E-2</v>
      </c>
      <c r="AT49" s="26">
        <v>5.2135493372606777E-2</v>
      </c>
      <c r="AU49" s="2"/>
      <c r="AV49" s="2"/>
      <c r="AW49" s="2"/>
      <c r="AX49" s="2"/>
      <c r="AY49" s="2"/>
      <c r="AZ49" s="2"/>
      <c r="BA49" s="2"/>
      <c r="BB49" s="2"/>
      <c r="BC49" s="2">
        <v>0.64059196617336156</v>
      </c>
      <c r="BD49" s="2" t="s">
        <v>222</v>
      </c>
      <c r="BE49" s="2" t="s">
        <v>222</v>
      </c>
      <c r="BF49" s="8">
        <v>0.64</v>
      </c>
      <c r="BG49" s="2">
        <v>0.54736842105263162</v>
      </c>
      <c r="BH49" s="2" t="s">
        <v>222</v>
      </c>
      <c r="BI49" s="2" t="s">
        <v>222</v>
      </c>
      <c r="BJ49" s="8">
        <v>0.55000000000000004</v>
      </c>
      <c r="BK49" s="31">
        <f>VLOOKUP($A49,[5]FY20!$W:$AF,7,FALSE)</f>
        <v>7.7048131080389144</v>
      </c>
      <c r="BL49" s="31">
        <f>VLOOKUP($A49,[5]FY20!$W:$AF,8,FALSE)</f>
        <v>0.55299539170506917</v>
      </c>
      <c r="BM49" s="31">
        <f>VLOOKUP($A49,[5]FY20!$W:$AF,9,FALSE)</f>
        <v>1.9897593445980539</v>
      </c>
      <c r="BN49" s="31">
        <f>VLOOKUP($A49,[5]FY20!$W:$AF,10,FALSE)</f>
        <v>4.6679467485919099</v>
      </c>
      <c r="BO49" s="55">
        <f>VLOOKUP($A49,[5]FY21!$W:$AF,7,FALSE)</f>
        <v>7.7526881720430127</v>
      </c>
      <c r="BP49" s="55">
        <f>VLOOKUP($A49,[5]FY21!$W:$AF,8,FALSE)</f>
        <v>0.62980030721966207</v>
      </c>
      <c r="BQ49" s="55">
        <f>VLOOKUP($A49,[5]FY21!$W:$AF,9,FALSE)</f>
        <v>2.1566820276497691</v>
      </c>
      <c r="BR49" s="55">
        <f>VLOOKUP($A49,[5]FY21!$W:$AF,10,FALSE)</f>
        <v>4.6233998975934458</v>
      </c>
      <c r="BS49" s="31">
        <f>VLOOKUP($A49,[5]FY22!$W:$AF,7,FALSE)</f>
        <v>8.7354634427173288</v>
      </c>
      <c r="BT49" s="31">
        <f>VLOOKUP($A49,[5]FY22!$W:$AF,8,FALSE)</f>
        <v>0.69084628670120896</v>
      </c>
      <c r="BU49" s="31">
        <f>VLOOKUP($A49,[5]FY22!$W:$AF,9,FALSE)</f>
        <v>2.2702936096718478</v>
      </c>
      <c r="BV49" s="31">
        <f>VLOOKUP($A49,[5]FY22!$W:$AF,10,FALSE)</f>
        <v>6.3822682786413338</v>
      </c>
      <c r="BW49" s="55">
        <f>VLOOKUP($A49,[5]FY23!$W:$AF,7,FALSE)</f>
        <v>9.1901387658695022</v>
      </c>
      <c r="BX49" s="55">
        <f>VLOOKUP($A49,[5]FY23!$W:$AF,8,FALSE)</f>
        <v>0.70859167404782997</v>
      </c>
      <c r="BY49" s="55">
        <f>VLOOKUP($A49,[5]FY23!$W:$AF,9,FALSE)</f>
        <v>2.2155299675228819</v>
      </c>
      <c r="BZ49" s="55">
        <f>VLOOKUP($A49,[5]FY23!$W:$AF,10,FALSE)</f>
        <v>6.7596693238854435</v>
      </c>
      <c r="CA49" s="37">
        <f>VLOOKUP($A49,[5]FY20!$W:$AF,3,FALSE)</f>
        <v>76972.194716730359</v>
      </c>
      <c r="CB49" s="37">
        <f>VLOOKUP($A49,[5]FY20!$W:$AF,4,FALSE)</f>
        <v>114429.72222222222</v>
      </c>
      <c r="CC49" s="37">
        <f>VLOOKUP($A49,[5]FY20!$W:$AF,5,FALSE)</f>
        <v>63767.099845599601</v>
      </c>
      <c r="CD49" s="37">
        <f>VLOOKUP($A49,[5]FY20!$W:$AF,6,FALSE)</f>
        <v>48588.389184445783</v>
      </c>
      <c r="CE49" s="52">
        <f>VLOOKUP($A49,[5]FY21!$W:$AF,3,FALSE)</f>
        <v>76185.618023908581</v>
      </c>
      <c r="CF49" s="52">
        <f>VLOOKUP($A49,[5]FY21!$W:$AF,4,FALSE)</f>
        <v>115017.12723577234</v>
      </c>
      <c r="CG49" s="52">
        <f>VLOOKUP($A49,[5]FY21!$W:$AF,5,FALSE)</f>
        <v>59862.802706552699</v>
      </c>
      <c r="CH49" s="52">
        <f>VLOOKUP($A49,[5]FY21!$W:$AF,6,FALSE)</f>
        <v>49127.990475663108</v>
      </c>
      <c r="CI49" s="37">
        <f>VLOOKUP($A49,[5]FY22!$W:$AF,3,FALSE)</f>
        <v>78681.89043430984</v>
      </c>
      <c r="CJ49" s="37">
        <f>VLOOKUP($A49,[5]FY22!$W:$AF,4,FALSE)</f>
        <v>115353.51166666666</v>
      </c>
      <c r="CK49" s="37">
        <f>VLOOKUP($A49,[5]FY22!$W:$AF,5,FALSE)</f>
        <v>63914.599974641838</v>
      </c>
      <c r="CL49" s="37">
        <f>VLOOKUP($A49,[5]FY22!$W:$AF,6,FALSE)</f>
        <v>51126.66687714235</v>
      </c>
      <c r="CM49" s="52">
        <f>VLOOKUP($A49,[5]FY23!$W:$AF,3,FALSE)</f>
        <v>80342.532399524527</v>
      </c>
      <c r="CN49" s="52">
        <f>VLOOKUP($A49,[5]FY23!$W:$AF,4,FALSE)</f>
        <v>125806.16124999999</v>
      </c>
      <c r="CO49" s="52">
        <f>VLOOKUP($A49,[5]FY23!$W:$AF,5,FALSE)</f>
        <v>70313.126066098062</v>
      </c>
      <c r="CP49" s="52">
        <f>VLOOKUP($A49,[5]FY23!$W:$AF,6,FALSE)</f>
        <v>56010.680585280636</v>
      </c>
      <c r="CQ49" s="5">
        <v>0.84199999999999997</v>
      </c>
      <c r="CR49" s="4">
        <v>0.93400000000000005</v>
      </c>
      <c r="CS49" s="4">
        <v>0.86399999999999999</v>
      </c>
      <c r="CT49" s="4">
        <v>0.95399999999999996</v>
      </c>
      <c r="CU49" s="4">
        <v>0.89600000000000002</v>
      </c>
      <c r="CV49" s="4">
        <v>0.91200000000000003</v>
      </c>
      <c r="CW49" s="4">
        <v>0.84</v>
      </c>
      <c r="CX49" s="4">
        <v>0.91300000000000003</v>
      </c>
      <c r="CY49" t="s">
        <v>228</v>
      </c>
      <c r="CZ49" t="s">
        <v>228</v>
      </c>
      <c r="DA49" t="s">
        <v>228</v>
      </c>
      <c r="DB49">
        <v>0</v>
      </c>
      <c r="DC49">
        <v>6</v>
      </c>
      <c r="DD49">
        <v>2</v>
      </c>
      <c r="DE49">
        <v>0</v>
      </c>
      <c r="DF49">
        <v>0</v>
      </c>
      <c r="DG49">
        <v>0</v>
      </c>
      <c r="DH49">
        <v>6</v>
      </c>
      <c r="DI49">
        <v>2</v>
      </c>
      <c r="DJ49">
        <v>0</v>
      </c>
      <c r="DK49">
        <v>0</v>
      </c>
      <c r="DL49">
        <v>2</v>
      </c>
      <c r="DM49">
        <v>4</v>
      </c>
      <c r="DN49">
        <v>0</v>
      </c>
      <c r="DO49">
        <v>0</v>
      </c>
      <c r="DP49">
        <v>0</v>
      </c>
      <c r="DQ49" s="5">
        <v>0</v>
      </c>
      <c r="DR49" s="5">
        <v>0.75</v>
      </c>
      <c r="DS49" s="5">
        <v>0.25</v>
      </c>
      <c r="DT49" s="5">
        <v>0</v>
      </c>
      <c r="DU49" s="5">
        <v>0</v>
      </c>
      <c r="DV49" s="5">
        <v>0</v>
      </c>
      <c r="DW49" s="5">
        <v>0.75</v>
      </c>
      <c r="DX49" s="5">
        <v>0.25</v>
      </c>
      <c r="DY49" s="5">
        <v>0</v>
      </c>
      <c r="DZ49" s="5">
        <v>0</v>
      </c>
      <c r="EA49" s="5">
        <v>0.25</v>
      </c>
      <c r="EB49" s="5">
        <v>0.5</v>
      </c>
      <c r="EC49" s="5">
        <v>0</v>
      </c>
      <c r="ED49" s="5">
        <v>0</v>
      </c>
      <c r="EE49" s="5">
        <v>0</v>
      </c>
      <c r="EF49" s="36">
        <f>VLOOKUP($A49,'[6]Updated (2)'!$A$2:$Q$54,2,FALSE)</f>
        <v>0</v>
      </c>
      <c r="EG49" s="36">
        <f>VLOOKUP($A49,'[6]Updated (2)'!$A$2:$Q$54,3,FALSE)</f>
        <v>550494</v>
      </c>
      <c r="EH49" s="36">
        <f>VLOOKUP($A49,'[6]Updated (2)'!$A$2:$Q$54,4,FALSE)</f>
        <v>0</v>
      </c>
      <c r="EI49" s="36">
        <f>VLOOKUP($A49,'[6]Updated (2)'!$A$2:$Q$54,5,FALSE)</f>
        <v>0</v>
      </c>
      <c r="EJ49" s="48">
        <f>VLOOKUP($A49,'[6]Updated (2)'!$A$2:$Q$54,6,FALSE)</f>
        <v>0</v>
      </c>
      <c r="EK49" s="48">
        <f>VLOOKUP($A49,'[6]Updated (2)'!$A$2:$Q$54,7,FALSE)</f>
        <v>591743</v>
      </c>
      <c r="EL49" s="48">
        <f>VLOOKUP($A49,'[6]Updated (2)'!$A$2:$Q$54,8,FALSE)</f>
        <v>0</v>
      </c>
      <c r="EM49" s="48">
        <f>VLOOKUP($A49,'[6]Updated (2)'!$A$2:$Q$54,9,FALSE)</f>
        <v>0</v>
      </c>
      <c r="EN49" s="36">
        <f>VLOOKUP($A49,'[6]Updated (2)'!$A$2:$Q$54,10,FALSE)</f>
        <v>0</v>
      </c>
      <c r="EO49" s="36">
        <f>VLOOKUP($A49,'[6]Updated (2)'!$A$2:$Q$54,11,FALSE)</f>
        <v>625797</v>
      </c>
      <c r="EP49" s="36">
        <f>VLOOKUP($A49,'[6]Updated (2)'!$A$2:$Q$54,12,FALSE)</f>
        <v>0</v>
      </c>
      <c r="EQ49" s="36">
        <f>VLOOKUP($A49,'[6]Updated (2)'!$A$2:$Q$54,13,FALSE)</f>
        <v>0</v>
      </c>
      <c r="ER49" s="48">
        <f>VLOOKUP($A49,'[6]Updated (2)'!$A$2:$Q$54,14,FALSE)</f>
        <v>0</v>
      </c>
      <c r="ES49" s="48">
        <f>VLOOKUP($A49,'[6]Updated (2)'!$A$2:$Q$54,15,FALSE)</f>
        <v>645042</v>
      </c>
      <c r="ET49" s="48">
        <f>VLOOKUP($A49,'[6]Updated (2)'!$A$2:$Q$54,16,FALSE)</f>
        <v>0</v>
      </c>
      <c r="EU49" s="48">
        <f>VLOOKUP($A49,'[6]Updated (2)'!$A$2:$Q$54,17,FALSE)</f>
        <v>0</v>
      </c>
      <c r="EV49" s="37">
        <f>VLOOKUP($A49,[7]Totals!$A49:$F100,3,FALSE)-SUM(EF49:EI49)</f>
        <v>92738402.419999912</v>
      </c>
      <c r="EW49" s="37">
        <f>VLOOKUP($A49,[7]Totals!$A49:$F100,4,FALSE)-SUM(EJ49:EM49)</f>
        <v>81090668.439999938</v>
      </c>
      <c r="EX49" s="37">
        <f>VLOOKUP($A49,[7]Totals!$A49:$F100,5,FALSE)-SUM(EN49:EQ49)</f>
        <v>87681955.460000098</v>
      </c>
      <c r="EY49" s="37">
        <f>VLOOKUP($A49,[7]Totals!$A49:$F100,6,FALSE)-SUM(ER49:EU49)</f>
        <v>94172708.76000011</v>
      </c>
      <c r="EZ49" s="52">
        <f t="shared" si="22"/>
        <v>24226.839228614997</v>
      </c>
      <c r="FA49" s="52">
        <f t="shared" si="23"/>
        <v>21374.298452227806</v>
      </c>
      <c r="FB49" s="52">
        <f t="shared" si="24"/>
        <v>23262.255778291903</v>
      </c>
      <c r="FC49" s="52">
        <f t="shared" si="25"/>
        <v>25471.427965563063</v>
      </c>
      <c r="FD49" s="37">
        <f>VLOOKUP($A49,[8]Totals!$A$2:$F$54,3)-SUM(EF49:EI49)</f>
        <v>89358111.959999919</v>
      </c>
      <c r="FE49" s="37">
        <f>VLOOKUP($A49,[8]Totals!$A$2:$F$54,4)-SUM(EJ49:EM49)</f>
        <v>77501908.460000038</v>
      </c>
      <c r="FF49" s="37">
        <f>VLOOKUP($A49,[8]Totals!$A$2:$F$54,5)-SUM(EN49:EQ49)</f>
        <v>83331068.330000103</v>
      </c>
      <c r="FG49" s="37">
        <f>VLOOKUP($A49,[8]Totals!$A$2:$F$54,6)-SUM(ER49:EU49)</f>
        <v>89675641.12000002</v>
      </c>
      <c r="FH49" s="52">
        <f t="shared" si="26"/>
        <v>23343.777288971538</v>
      </c>
      <c r="FI49" s="52">
        <f t="shared" si="27"/>
        <v>20428.354506252253</v>
      </c>
      <c r="FJ49" s="52">
        <f t="shared" si="28"/>
        <v>22107.953861214901</v>
      </c>
      <c r="FK49" s="52">
        <f t="shared" si="29"/>
        <v>24255.080512497334</v>
      </c>
      <c r="FL49" s="37">
        <f>VLOOKUP($A49,[9]Totals!$A$3:$F$54,3)-SUM(EF49:EI49)</f>
        <v>86351485.180000111</v>
      </c>
      <c r="FM49" s="37">
        <f>VLOOKUP($A49,[9]Totals!$A$3:$F$54,4)-SUM(EJ49:EM49)</f>
        <v>73154926.479999915</v>
      </c>
      <c r="FN49" s="37">
        <f>VLOOKUP($A49,[9]Totals!$A$3:$F$54,5)-SUM(EN49:EQ49)</f>
        <v>77774992.689999923</v>
      </c>
      <c r="FO49" s="37">
        <f>VLOOKUP($A49,[9]Totals!$A$3:$F$54,6)-SUM(ER49:EU49)</f>
        <v>82455038.150000021</v>
      </c>
      <c r="FP49" s="52">
        <f t="shared" si="30"/>
        <v>22558.330680892002</v>
      </c>
      <c r="FQ49" s="52">
        <f t="shared" si="31"/>
        <v>19282.554477785019</v>
      </c>
      <c r="FR49" s="52">
        <f t="shared" si="32"/>
        <v>20633.912229921876</v>
      </c>
      <c r="FS49" s="52">
        <f t="shared" si="33"/>
        <v>22302.082973826073</v>
      </c>
      <c r="FT49" s="37">
        <f>VLOOKUP($A49,[10]Calculations!$AF$3:$AJ$54,2,FALSE)-EI49</f>
        <v>17715858.899999999</v>
      </c>
      <c r="FU49" s="37">
        <f>VLOOKUP($A49,[10]Calculations!$AF$3:$AJ$54,3,FALSE)-EM49</f>
        <v>18008113.550000004</v>
      </c>
      <c r="FV49" s="37">
        <f>VLOOKUP($A49,[10]Calculations!$AF$3:$AJ$54,4,FALSE)-EQ49</f>
        <v>18863718.380000006</v>
      </c>
      <c r="FW49" s="37">
        <f>VLOOKUP($A49,[10]Calculations!$AF$3:$AJ$54,5,FALSE)-EU49</f>
        <v>18894541.449248374</v>
      </c>
      <c r="FX49" s="52">
        <f t="shared" si="34"/>
        <v>30335.374828767122</v>
      </c>
      <c r="FY49" s="52">
        <f t="shared" si="35"/>
        <v>31048.471637931041</v>
      </c>
      <c r="FZ49" s="52">
        <f t="shared" si="36"/>
        <v>30823.069248366024</v>
      </c>
      <c r="GA49" s="52">
        <f t="shared" si="37"/>
        <v>30823.069248366024</v>
      </c>
    </row>
    <row r="50" spans="1:183" ht="15.75" x14ac:dyDescent="0.25">
      <c r="A50" s="66" t="s">
        <v>324</v>
      </c>
      <c r="B50" s="66" t="s">
        <v>325</v>
      </c>
      <c r="C50" s="67">
        <v>3</v>
      </c>
      <c r="D50" s="68" t="s">
        <v>231</v>
      </c>
      <c r="E50">
        <v>8</v>
      </c>
      <c r="F50" s="27">
        <v>1696</v>
      </c>
      <c r="G50" s="27">
        <v>1643</v>
      </c>
      <c r="H50" s="27">
        <v>1694</v>
      </c>
      <c r="I50" s="27">
        <v>1626</v>
      </c>
      <c r="J50" s="23">
        <v>187</v>
      </c>
      <c r="K50" s="23">
        <v>145</v>
      </c>
      <c r="L50" s="23">
        <v>158</v>
      </c>
      <c r="M50" s="23">
        <v>161</v>
      </c>
      <c r="N50" s="27">
        <v>1507</v>
      </c>
      <c r="O50" s="27">
        <v>1498</v>
      </c>
      <c r="P50" s="27">
        <v>1536</v>
      </c>
      <c r="Q50" s="27">
        <v>1464</v>
      </c>
      <c r="R50" s="25">
        <f>VLOOKUP($A50,'ADM, LTADM'!$B:$L,2,FALSE)</f>
        <v>1863.1900000000003</v>
      </c>
      <c r="S50" s="25">
        <f>VLOOKUP($A50,'ADM, LTADM'!$B:$L,3,FALSE)</f>
        <v>1858.2400000000002</v>
      </c>
      <c r="T50" s="25">
        <f>VLOOKUP($A50,'ADM, LTADM'!$B:$L,4,FALSE)</f>
        <v>1848.33</v>
      </c>
      <c r="U50" s="25">
        <f>VLOOKUP($A50,'ADM, LTADM'!$B:$L,5,FALSE)</f>
        <v>1892.5700000000002</v>
      </c>
      <c r="V50" s="29">
        <f>VLOOKUP($A50,'ADM, LTADM'!$B:$L,7,FALSE)</f>
        <v>1851.4099999999999</v>
      </c>
      <c r="W50" s="29">
        <f>VLOOKUP($A50,'ADM, LTADM'!$B:$L,8,FALSE)</f>
        <v>1868.56</v>
      </c>
      <c r="X50" s="29">
        <f>VLOOKUP($A50,'ADM, LTADM'!$B:$L,9,FALSE)</f>
        <v>1864.4499999999998</v>
      </c>
      <c r="Y50" s="29">
        <f>VLOOKUP($A50,'ADM, LTADM'!$B:$L,10,FALSE)</f>
        <v>1881.11</v>
      </c>
      <c r="Z50" s="10">
        <v>1818.82</v>
      </c>
      <c r="AA50" s="10">
        <v>1830.25</v>
      </c>
      <c r="AB50" s="10">
        <v>1837.91</v>
      </c>
      <c r="AC50" s="10">
        <v>1831.4499999999998</v>
      </c>
      <c r="AD50" s="2">
        <v>0.3859773371104816</v>
      </c>
      <c r="AE50" s="2">
        <v>0.29136690647482016</v>
      </c>
      <c r="AF50" s="2">
        <v>0.2983425414364641</v>
      </c>
      <c r="AG50" s="2">
        <v>0.30663928815879532</v>
      </c>
      <c r="AH50" s="2">
        <f t="shared" si="38"/>
        <v>0.32522892834058864</v>
      </c>
      <c r="AI50" s="46">
        <f>VLOOKUP(A50,'[1]SU_SD IDEA 3-21'!$A:$B,2,FALSE)</f>
        <v>311</v>
      </c>
      <c r="AJ50" s="46">
        <f>VLOOKUP(A50,'[2]SU_SD IDEA 3-21'!$A:$B,2,FALSE)</f>
        <v>310</v>
      </c>
      <c r="AK50" s="46">
        <f>VLOOKUP(A50,'[3]SU_SD IDEA 3-21'!$A:$B,2,FALSE)</f>
        <v>307</v>
      </c>
      <c r="AL50" s="46">
        <f>VLOOKUP($A50,'[4]SU_SD IDEA 3-21'!$A:$B,2,FALSE)</f>
        <v>329</v>
      </c>
      <c r="AM50" s="22">
        <f t="shared" si="18"/>
        <v>0.16691802768370373</v>
      </c>
      <c r="AN50" s="22">
        <f t="shared" si="19"/>
        <v>0.16682452212846563</v>
      </c>
      <c r="AO50" s="22">
        <f t="shared" si="20"/>
        <v>0.16609588114676493</v>
      </c>
      <c r="AP50" s="22">
        <f t="shared" si="21"/>
        <v>0.17383769160453774</v>
      </c>
      <c r="AQ50" s="26" t="s">
        <v>222</v>
      </c>
      <c r="AR50" s="26">
        <v>0</v>
      </c>
      <c r="AS50" s="26">
        <v>0</v>
      </c>
      <c r="AT50" s="26">
        <v>0</v>
      </c>
      <c r="AU50" s="2"/>
      <c r="AV50" s="2"/>
      <c r="AW50" s="2"/>
      <c r="AX50" s="2"/>
      <c r="AY50" s="2"/>
      <c r="AZ50" s="2"/>
      <c r="BA50" s="2"/>
      <c r="BB50" s="2"/>
      <c r="BC50" s="2">
        <v>0.44881889763779526</v>
      </c>
      <c r="BD50" s="2">
        <v>0.37704918032786883</v>
      </c>
      <c r="BE50" s="2" t="s">
        <v>222</v>
      </c>
      <c r="BF50" s="8">
        <v>0.41</v>
      </c>
      <c r="BG50" s="2">
        <v>0.37007874015748032</v>
      </c>
      <c r="BH50" s="2">
        <v>0.26446280991735538</v>
      </c>
      <c r="BI50" s="2" t="s">
        <v>222</v>
      </c>
      <c r="BJ50" s="8">
        <v>0.32</v>
      </c>
      <c r="BK50" s="31">
        <f>VLOOKUP($A50,[5]FY20!$W:$AF,7,FALSE)</f>
        <v>9.7110849056603765</v>
      </c>
      <c r="BL50" s="31">
        <f>VLOOKUP($A50,[5]FY20!$W:$AF,8,FALSE)</f>
        <v>1.0801886792452831</v>
      </c>
      <c r="BM50" s="31">
        <f>VLOOKUP($A50,[5]FY20!$W:$AF,9,FALSE)</f>
        <v>1.6061320754716983</v>
      </c>
      <c r="BN50" s="31">
        <f>VLOOKUP($A50,[5]FY20!$W:$AF,10,FALSE)</f>
        <v>4.1774764150943406</v>
      </c>
      <c r="BO50" s="55">
        <f>VLOOKUP($A50,[5]FY21!$W:$AF,7,FALSE)</f>
        <v>9.4575471698113205</v>
      </c>
      <c r="BP50" s="55">
        <f>VLOOKUP($A50,[5]FY21!$W:$AF,8,FALSE)</f>
        <v>1.1167452830188678</v>
      </c>
      <c r="BQ50" s="55">
        <f>VLOOKUP($A50,[5]FY21!$W:$AF,9,FALSE)</f>
        <v>1.5683962264150944</v>
      </c>
      <c r="BR50" s="55">
        <f>VLOOKUP($A50,[5]FY21!$W:$AF,10,FALSE)</f>
        <v>3.9923349056603783</v>
      </c>
      <c r="BS50" s="31">
        <f>VLOOKUP($A50,[5]FY22!$W:$AF,7,FALSE)</f>
        <v>10.712890624999998</v>
      </c>
      <c r="BT50" s="31">
        <f>VLOOKUP($A50,[5]FY22!$W:$AF,8,FALSE)</f>
        <v>1.2825520833333333</v>
      </c>
      <c r="BU50" s="31">
        <f>VLOOKUP($A50,[5]FY22!$W:$AF,9,FALSE)</f>
        <v>1.8157552083333335</v>
      </c>
      <c r="BV50" s="31">
        <f>VLOOKUP($A50,[5]FY22!$W:$AF,10,FALSE)</f>
        <v>4.3092447916666661</v>
      </c>
      <c r="BW50" s="55">
        <f>VLOOKUP($A50,[5]FY23!$W:$AF,7,FALSE)</f>
        <v>10.630716723549488</v>
      </c>
      <c r="BX50" s="55">
        <f>VLOOKUP($A50,[5]FY23!$W:$AF,8,FALSE)</f>
        <v>1.3242320819112627</v>
      </c>
      <c r="BY50" s="55">
        <f>VLOOKUP($A50,[5]FY23!$W:$AF,9,FALSE)</f>
        <v>1.7242320819112631</v>
      </c>
      <c r="BZ50" s="55">
        <f>VLOOKUP($A50,[5]FY23!$W:$AF,10,FALSE)</f>
        <v>5.1030716723549494</v>
      </c>
      <c r="CA50" s="37">
        <f>VLOOKUP($A50,[5]FY20!$W:$AF,3,FALSE)</f>
        <v>58030.822707953863</v>
      </c>
      <c r="CB50" s="37">
        <f>VLOOKUP($A50,[5]FY20!$W:$AF,4,FALSE)</f>
        <v>82748.218340611347</v>
      </c>
      <c r="CC50" s="37">
        <f>VLOOKUP($A50,[5]FY20!$W:$AF,5,FALSE)</f>
        <v>56124.302496328921</v>
      </c>
      <c r="CD50" s="37">
        <f>VLOOKUP($A50,[5]FY20!$W:$AF,6,FALSE)</f>
        <v>45444.903458009874</v>
      </c>
      <c r="CE50" s="52">
        <f>VLOOKUP($A50,[5]FY21!$W:$AF,3,FALSE)</f>
        <v>56983.933915211979</v>
      </c>
      <c r="CF50" s="52">
        <f>VLOOKUP($A50,[5]FY21!$W:$AF,4,FALSE)</f>
        <v>81320.432946145738</v>
      </c>
      <c r="CG50" s="52">
        <f>VLOOKUP($A50,[5]FY21!$W:$AF,5,FALSE)</f>
        <v>56115</v>
      </c>
      <c r="CH50" s="52">
        <f>VLOOKUP($A50,[5]FY21!$W:$AF,6,FALSE)</f>
        <v>44168.660463742424</v>
      </c>
      <c r="CI50" s="37">
        <f>VLOOKUP($A50,[5]FY22!$W:$AF,3,FALSE)</f>
        <v>49285.347918565792</v>
      </c>
      <c r="CJ50" s="37">
        <f>VLOOKUP($A50,[5]FY22!$W:$AF,4,FALSE)</f>
        <v>87050.812182741123</v>
      </c>
      <c r="CK50" s="37">
        <f>VLOOKUP($A50,[5]FY22!$W:$AF,5,FALSE)</f>
        <v>56969.128719971312</v>
      </c>
      <c r="CL50" s="37">
        <f>VLOOKUP($A50,[5]FY22!$W:$AF,6,FALSE)</f>
        <v>46281.06964798308</v>
      </c>
      <c r="CM50" s="52">
        <f>VLOOKUP($A50,[5]FY23!$W:$AF,3,FALSE)</f>
        <v>61142.526004879925</v>
      </c>
      <c r="CN50" s="52">
        <f>VLOOKUP($A50,[5]FY23!$W:$AF,4,FALSE)</f>
        <v>92614.639175257733</v>
      </c>
      <c r="CO50" s="52">
        <f>VLOOKUP($A50,[5]FY23!$W:$AF,5,FALSE)</f>
        <v>64665.597783056211</v>
      </c>
      <c r="CP50" s="52">
        <f>VLOOKUP($A50,[5]FY23!$W:$AF,6,FALSE)</f>
        <v>50550.8962011771</v>
      </c>
      <c r="CQ50" s="5">
        <v>0.83499999999999996</v>
      </c>
      <c r="CR50" s="4">
        <v>0.86899999999999999</v>
      </c>
      <c r="CS50" s="4">
        <v>0.86499999999999999</v>
      </c>
      <c r="CT50" s="4">
        <v>0.86599999999999999</v>
      </c>
      <c r="CU50" s="4">
        <v>0.81899999999999995</v>
      </c>
      <c r="CV50" s="4">
        <v>0.83499999999999996</v>
      </c>
      <c r="CW50" s="4">
        <v>0.80200000000000005</v>
      </c>
      <c r="CX50" s="4">
        <v>0.91</v>
      </c>
      <c r="CY50" t="s">
        <v>223</v>
      </c>
      <c r="CZ50" t="s">
        <v>223</v>
      </c>
      <c r="DA50" t="s">
        <v>257</v>
      </c>
      <c r="DB50">
        <v>0</v>
      </c>
      <c r="DC50">
        <v>0</v>
      </c>
      <c r="DD50">
        <v>8</v>
      </c>
      <c r="DE50">
        <v>0</v>
      </c>
      <c r="DF50">
        <v>0</v>
      </c>
      <c r="DG50">
        <v>0</v>
      </c>
      <c r="DH50">
        <v>1</v>
      </c>
      <c r="DI50">
        <v>7</v>
      </c>
      <c r="DJ50">
        <v>0</v>
      </c>
      <c r="DK50">
        <v>0</v>
      </c>
      <c r="DL50">
        <v>0</v>
      </c>
      <c r="DM50">
        <v>0</v>
      </c>
      <c r="DN50">
        <v>2</v>
      </c>
      <c r="DO50">
        <v>3</v>
      </c>
      <c r="DP50">
        <v>0</v>
      </c>
      <c r="DQ50" s="5">
        <v>0</v>
      </c>
      <c r="DR50" s="5">
        <v>0</v>
      </c>
      <c r="DS50" s="5">
        <v>1</v>
      </c>
      <c r="DT50" s="5">
        <v>0</v>
      </c>
      <c r="DU50" s="5">
        <v>0</v>
      </c>
      <c r="DV50" s="5">
        <v>0</v>
      </c>
      <c r="DW50" s="5">
        <v>0.125</v>
      </c>
      <c r="DX50" s="5">
        <v>0.875</v>
      </c>
      <c r="DY50" s="5">
        <v>0</v>
      </c>
      <c r="DZ50" s="5">
        <v>0</v>
      </c>
      <c r="EA50" s="5">
        <v>0</v>
      </c>
      <c r="EB50" s="5">
        <v>0</v>
      </c>
      <c r="EC50" s="5">
        <v>0.25</v>
      </c>
      <c r="ED50" s="5">
        <v>0.375</v>
      </c>
      <c r="EE50" s="5">
        <v>0</v>
      </c>
      <c r="EF50" s="36">
        <f>VLOOKUP($A50,'[6]Updated (2)'!$A$2:$Q$54,2,FALSE)</f>
        <v>837974.39</v>
      </c>
      <c r="EG50" s="36">
        <f>VLOOKUP($A50,'[6]Updated (2)'!$A$2:$Q$54,3,FALSE)</f>
        <v>0</v>
      </c>
      <c r="EH50" s="36">
        <f>VLOOKUP($A50,'[6]Updated (2)'!$A$2:$Q$54,4,FALSE)</f>
        <v>0</v>
      </c>
      <c r="EI50" s="36">
        <f>VLOOKUP($A50,'[6]Updated (2)'!$A$2:$Q$54,5,FALSE)</f>
        <v>0</v>
      </c>
      <c r="EJ50" s="48">
        <f>VLOOKUP($A50,'[6]Updated (2)'!$A$2:$Q$54,6,FALSE)</f>
        <v>1046097.23</v>
      </c>
      <c r="EK50" s="48">
        <f>VLOOKUP($A50,'[6]Updated (2)'!$A$2:$Q$54,7,FALSE)</f>
        <v>0</v>
      </c>
      <c r="EL50" s="48">
        <f>VLOOKUP($A50,'[6]Updated (2)'!$A$2:$Q$54,8,FALSE)</f>
        <v>0</v>
      </c>
      <c r="EM50" s="48">
        <f>VLOOKUP($A50,'[6]Updated (2)'!$A$2:$Q$54,9,FALSE)</f>
        <v>0</v>
      </c>
      <c r="EN50" s="36">
        <f>VLOOKUP($A50,'[6]Updated (2)'!$A$2:$Q$54,10,FALSE)</f>
        <v>1114892.44</v>
      </c>
      <c r="EO50" s="36">
        <f>VLOOKUP($A50,'[6]Updated (2)'!$A$2:$Q$54,11,FALSE)</f>
        <v>0</v>
      </c>
      <c r="EP50" s="36">
        <f>VLOOKUP($A50,'[6]Updated (2)'!$A$2:$Q$54,12,FALSE)</f>
        <v>0</v>
      </c>
      <c r="EQ50" s="36">
        <f>VLOOKUP($A50,'[6]Updated (2)'!$A$2:$Q$54,13,FALSE)</f>
        <v>0</v>
      </c>
      <c r="ER50" s="48">
        <f>VLOOKUP($A50,'[6]Updated (2)'!$A$2:$Q$54,14,FALSE)</f>
        <v>0</v>
      </c>
      <c r="ES50" s="48">
        <f>VLOOKUP($A50,'[6]Updated (2)'!$A$2:$Q$54,15,FALSE)</f>
        <v>1134812.2</v>
      </c>
      <c r="ET50" s="48">
        <f>VLOOKUP($A50,'[6]Updated (2)'!$A$2:$Q$54,16,FALSE)</f>
        <v>0</v>
      </c>
      <c r="EU50" s="48">
        <f>VLOOKUP($A50,'[6]Updated (2)'!$A$2:$Q$54,17,FALSE)</f>
        <v>0</v>
      </c>
      <c r="EV50" s="37">
        <f>VLOOKUP($A50,[7]Totals!$A50:$F101,3,FALSE)-SUM(EF50:EI50)</f>
        <v>37843014.499999978</v>
      </c>
      <c r="EW50" s="37">
        <f>VLOOKUP($A50,[7]Totals!$A50:$F101,4,FALSE)-SUM(EJ50:EM50)</f>
        <v>38402876.600000024</v>
      </c>
      <c r="EX50" s="37">
        <f>VLOOKUP($A50,[7]Totals!$A50:$F101,5,FALSE)-SUM(EN50:EQ50)</f>
        <v>40310899.970000006</v>
      </c>
      <c r="EY50" s="37">
        <f>VLOOKUP($A50,[7]Totals!$A50:$F101,6,FALSE)-SUM(ER50:EU50)</f>
        <v>43000799.489999965</v>
      </c>
      <c r="EZ50" s="52">
        <f t="shared" si="22"/>
        <v>20440.104839014577</v>
      </c>
      <c r="FA50" s="52">
        <f t="shared" si="23"/>
        <v>20552.123881491643</v>
      </c>
      <c r="FB50" s="52">
        <f t="shared" si="24"/>
        <v>21620.799683552796</v>
      </c>
      <c r="FC50" s="52">
        <f t="shared" si="25"/>
        <v>22859.268990117518</v>
      </c>
      <c r="FD50" s="37">
        <f>VLOOKUP($A50,[8]Totals!$A$2:$F$54,3)-SUM(EF50:EI50)</f>
        <v>37092750.759999983</v>
      </c>
      <c r="FE50" s="37">
        <f>VLOOKUP($A50,[8]Totals!$A$2:$F$54,4)-SUM(EJ50:EM50)</f>
        <v>37711822.329999991</v>
      </c>
      <c r="FF50" s="37">
        <f>VLOOKUP($A50,[8]Totals!$A$2:$F$54,5)-SUM(EN50:EQ50)</f>
        <v>39255760.110000022</v>
      </c>
      <c r="FG50" s="37">
        <f>VLOOKUP($A50,[8]Totals!$A$2:$F$54,6)-SUM(ER50:EU50)</f>
        <v>41801676.189999953</v>
      </c>
      <c r="FH50" s="52">
        <f t="shared" si="26"/>
        <v>20034.865729363017</v>
      </c>
      <c r="FI50" s="52">
        <f t="shared" si="27"/>
        <v>20182.291352699402</v>
      </c>
      <c r="FJ50" s="52">
        <f t="shared" si="28"/>
        <v>21054.874150553795</v>
      </c>
      <c r="FK50" s="52">
        <f t="shared" si="29"/>
        <v>22221.813817373761</v>
      </c>
      <c r="FL50" s="37">
        <f>VLOOKUP($A50,[9]Totals!$A$3:$F$54,3)-SUM(EF50:EI50)</f>
        <v>32822727.250000007</v>
      </c>
      <c r="FM50" s="37">
        <f>VLOOKUP($A50,[9]Totals!$A$3:$F$54,4)-SUM(EJ50:EM50)</f>
        <v>32539177.210000012</v>
      </c>
      <c r="FN50" s="37">
        <f>VLOOKUP($A50,[9]Totals!$A$3:$F$54,5)-SUM(EN50:EQ50)</f>
        <v>33976132.590000011</v>
      </c>
      <c r="FO50" s="37">
        <f>VLOOKUP($A50,[9]Totals!$A$3:$F$54,6)-SUM(ER50:EU50)</f>
        <v>37356397.699999943</v>
      </c>
      <c r="FP50" s="52">
        <f t="shared" si="30"/>
        <v>17728.502735752754</v>
      </c>
      <c r="FQ50" s="52">
        <f t="shared" si="31"/>
        <v>17414.039265530682</v>
      </c>
      <c r="FR50" s="52">
        <f t="shared" si="32"/>
        <v>18223.139580037016</v>
      </c>
      <c r="FS50" s="52">
        <f t="shared" si="33"/>
        <v>19858.69922545728</v>
      </c>
      <c r="FT50" s="37">
        <f>VLOOKUP($A50,[10]Calculations!$AF$3:$AJ$54,2,FALSE)-EI50</f>
        <v>7017140.3699999973</v>
      </c>
      <c r="FU50" s="37">
        <f>VLOOKUP($A50,[10]Calculations!$AF$3:$AJ$54,3,FALSE)-EM50</f>
        <v>6482682.0100000007</v>
      </c>
      <c r="FV50" s="37">
        <f>VLOOKUP($A50,[10]Calculations!$AF$3:$AJ$54,4,FALSE)-EQ50</f>
        <v>6560718.8299999963</v>
      </c>
      <c r="FW50" s="37">
        <f>VLOOKUP($A50,[10]Calculations!$AF$3:$AJ$54,5,FALSE)-EU50</f>
        <v>7030868.0621172599</v>
      </c>
      <c r="FX50" s="52">
        <f t="shared" si="34"/>
        <v>22563.152315112533</v>
      </c>
      <c r="FY50" s="52">
        <f t="shared" si="35"/>
        <v>20911.877451612905</v>
      </c>
      <c r="FZ50" s="52">
        <f t="shared" si="36"/>
        <v>21370.419641693799</v>
      </c>
      <c r="GA50" s="52">
        <f t="shared" si="37"/>
        <v>21370.419641693799</v>
      </c>
    </row>
    <row r="51" spans="1:183" ht="15.75" x14ac:dyDescent="0.25">
      <c r="A51" s="66" t="s">
        <v>326</v>
      </c>
      <c r="B51" s="66" t="s">
        <v>327</v>
      </c>
      <c r="C51" s="67">
        <v>2</v>
      </c>
      <c r="D51" s="68" t="s">
        <v>240</v>
      </c>
      <c r="E51">
        <v>7</v>
      </c>
      <c r="F51" s="27">
        <v>1308</v>
      </c>
      <c r="G51" s="27">
        <v>1113</v>
      </c>
      <c r="H51" s="27">
        <v>1289</v>
      </c>
      <c r="I51" s="27">
        <v>1224</v>
      </c>
      <c r="J51" s="23">
        <v>167</v>
      </c>
      <c r="K51" s="23">
        <v>46</v>
      </c>
      <c r="L51" s="23">
        <v>137</v>
      </c>
      <c r="M51" s="23">
        <v>146</v>
      </c>
      <c r="N51" s="27">
        <v>1141</v>
      </c>
      <c r="O51" s="27">
        <v>1067</v>
      </c>
      <c r="P51" s="27">
        <v>1152</v>
      </c>
      <c r="Q51" s="27">
        <v>1078</v>
      </c>
      <c r="R51" s="25">
        <f>VLOOKUP($A51,'ADM, LTADM'!$B:$L,2,FALSE)</f>
        <v>1807.16</v>
      </c>
      <c r="S51" s="25">
        <f>VLOOKUP($A51,'ADM, LTADM'!$B:$L,3,FALSE)</f>
        <v>1807.23</v>
      </c>
      <c r="T51" s="25">
        <f>VLOOKUP($A51,'ADM, LTADM'!$B:$L,4,FALSE)</f>
        <v>1791.55</v>
      </c>
      <c r="U51" s="25">
        <f>VLOOKUP($A51,'ADM, LTADM'!$B:$L,5,FALSE)</f>
        <v>1756.8799999999999</v>
      </c>
      <c r="V51" s="29">
        <f>VLOOKUP($A51,'ADM, LTADM'!$B:$L,7,FALSE)</f>
        <v>1838.21</v>
      </c>
      <c r="W51" s="29">
        <f>VLOOKUP($A51,'ADM, LTADM'!$B:$L,8,FALSE)</f>
        <v>1812.9900000000002</v>
      </c>
      <c r="X51" s="29">
        <f>VLOOKUP($A51,'ADM, LTADM'!$B:$L,9,FALSE)</f>
        <v>1801.7</v>
      </c>
      <c r="Y51" s="29">
        <f>VLOOKUP($A51,'ADM, LTADM'!$B:$L,10,FALSE)</f>
        <v>1777.4099999999999</v>
      </c>
      <c r="Z51" s="10">
        <v>1888.52</v>
      </c>
      <c r="AA51" s="10">
        <v>1885.37</v>
      </c>
      <c r="AB51" s="10">
        <v>1833.84</v>
      </c>
      <c r="AC51" s="10">
        <v>1822.32</v>
      </c>
      <c r="AD51" s="2">
        <v>0.52617568766637091</v>
      </c>
      <c r="AE51" s="2">
        <v>0.49430740037950666</v>
      </c>
      <c r="AF51" s="2">
        <v>0.33965672990063234</v>
      </c>
      <c r="AG51" s="2">
        <v>0.39796860572483839</v>
      </c>
      <c r="AH51" s="2">
        <f t="shared" si="38"/>
        <v>0.4533799393155033</v>
      </c>
      <c r="AI51" s="46">
        <f>VLOOKUP(A51,'[1]SU_SD IDEA 3-21'!$A:$B,2,FALSE)</f>
        <v>338</v>
      </c>
      <c r="AJ51" s="46">
        <f>VLOOKUP(A51,'[2]SU_SD IDEA 3-21'!$A:$B,2,FALSE)</f>
        <v>300</v>
      </c>
      <c r="AK51" s="46">
        <f>VLOOKUP(A51,'[3]SU_SD IDEA 3-21'!$A:$B,2,FALSE)</f>
        <v>295</v>
      </c>
      <c r="AL51" s="46">
        <f>VLOOKUP($A51,'[4]SU_SD IDEA 3-21'!$A:$B,2,FALSE)</f>
        <v>312</v>
      </c>
      <c r="AM51" s="22">
        <f t="shared" si="18"/>
        <v>0.18703379888886429</v>
      </c>
      <c r="AN51" s="22">
        <f t="shared" si="19"/>
        <v>0.16599990040005977</v>
      </c>
      <c r="AO51" s="22">
        <f t="shared" si="20"/>
        <v>0.16466188495995088</v>
      </c>
      <c r="AP51" s="22">
        <f t="shared" si="21"/>
        <v>0.1775875415509312</v>
      </c>
      <c r="AQ51" s="26" t="s">
        <v>222</v>
      </c>
      <c r="AR51" s="26" t="s">
        <v>222</v>
      </c>
      <c r="AS51" s="26" t="s">
        <v>222</v>
      </c>
      <c r="AT51" s="26" t="s">
        <v>222</v>
      </c>
      <c r="AU51" s="2"/>
      <c r="AV51" s="2"/>
      <c r="AW51" s="2"/>
      <c r="AX51" s="2"/>
      <c r="AY51" s="2"/>
      <c r="AZ51" s="2"/>
      <c r="BA51" s="2"/>
      <c r="BB51" s="2"/>
      <c r="BC51" s="2">
        <v>0.44266666666666665</v>
      </c>
      <c r="BD51" s="2" t="s">
        <v>222</v>
      </c>
      <c r="BE51" s="2" t="s">
        <v>222</v>
      </c>
      <c r="BF51" s="8">
        <v>0.44</v>
      </c>
      <c r="BG51" s="2">
        <v>0.29066666666666668</v>
      </c>
      <c r="BH51" s="2" t="s">
        <v>222</v>
      </c>
      <c r="BI51" s="2" t="s">
        <v>222</v>
      </c>
      <c r="BJ51" s="8">
        <v>0.28999999999999998</v>
      </c>
      <c r="BK51" s="31">
        <f>VLOOKUP($A51,[5]FY20!$W:$AF,7,FALSE)</f>
        <v>9.5787461773700269</v>
      </c>
      <c r="BL51" s="31">
        <f>VLOOKUP($A51,[5]FY20!$W:$AF,8,FALSE)</f>
        <v>1.2438837920489296</v>
      </c>
      <c r="BM51" s="31">
        <f>VLOOKUP($A51,[5]FY20!$W:$AF,9,FALSE)</f>
        <v>1.5764525993883789</v>
      </c>
      <c r="BN51" s="31">
        <f>VLOOKUP($A51,[5]FY20!$W:$AF,10,FALSE)</f>
        <v>6.7064220183486221</v>
      </c>
      <c r="BO51" s="55">
        <f>VLOOKUP($A51,[5]FY21!$W:$AF,7,FALSE)</f>
        <v>10.156727828746178</v>
      </c>
      <c r="BP51" s="55">
        <f>VLOOKUP($A51,[5]FY21!$W:$AF,8,FALSE)</f>
        <v>1.0970948012232415</v>
      </c>
      <c r="BQ51" s="55">
        <f>VLOOKUP($A51,[5]FY21!$W:$AF,9,FALSE)</f>
        <v>1.607033639143731</v>
      </c>
      <c r="BR51" s="55">
        <f>VLOOKUP($A51,[5]FY21!$W:$AF,10,FALSE)</f>
        <v>6.4640672782874606</v>
      </c>
      <c r="BS51" s="31">
        <f>VLOOKUP($A51,[5]FY22!$W:$AF,7,FALSE)</f>
        <v>10.942708333333332</v>
      </c>
      <c r="BT51" s="31">
        <f>VLOOKUP($A51,[5]FY22!$W:$AF,8,FALSE)</f>
        <v>1.4019097222222221</v>
      </c>
      <c r="BU51" s="31">
        <f>VLOOKUP($A51,[5]FY22!$W:$AF,9,FALSE)</f>
        <v>2.1223958333333335</v>
      </c>
      <c r="BV51" s="31">
        <f>VLOOKUP($A51,[5]FY22!$W:$AF,10,FALSE)</f>
        <v>6.4913194444444446</v>
      </c>
      <c r="BW51" s="55">
        <f>VLOOKUP($A51,[5]FY23!$W:$AF,7,FALSE)</f>
        <v>11.240259740259742</v>
      </c>
      <c r="BX51" s="55">
        <f>VLOOKUP($A51,[5]FY23!$W:$AF,8,FALSE)</f>
        <v>1.8413729128014842</v>
      </c>
      <c r="BY51" s="55">
        <f>VLOOKUP($A51,[5]FY23!$W:$AF,9,FALSE)</f>
        <v>1.7161410018552876</v>
      </c>
      <c r="BZ51" s="55">
        <f>VLOOKUP($A51,[5]FY23!$W:$AF,10,FALSE)</f>
        <v>7.1604823747680877</v>
      </c>
      <c r="CA51" s="37">
        <f>VLOOKUP($A51,[5]FY20!$W:$AF,3,FALSE)</f>
        <v>50182.853619602523</v>
      </c>
      <c r="CB51" s="37">
        <f>VLOOKUP($A51,[5]FY20!$W:$AF,4,FALSE)</f>
        <v>82713.717885679158</v>
      </c>
      <c r="CC51" s="37">
        <f>VLOOKUP($A51,[5]FY20!$W:$AF,5,FALSE)</f>
        <v>49740.123181377312</v>
      </c>
      <c r="CD51" s="37">
        <f>VLOOKUP($A51,[5]FY20!$W:$AF,6,FALSE)</f>
        <v>42138.368673050616</v>
      </c>
      <c r="CE51" s="52">
        <f>VLOOKUP($A51,[5]FY21!$W:$AF,3,FALSE)</f>
        <v>49882.235604064736</v>
      </c>
      <c r="CF51" s="52">
        <f>VLOOKUP($A51,[5]FY21!$W:$AF,4,FALSE)</f>
        <v>88641.951219512193</v>
      </c>
      <c r="CG51" s="52">
        <f>VLOOKUP($A51,[5]FY21!$W:$AF,5,FALSE)</f>
        <v>51930.494766888667</v>
      </c>
      <c r="CH51" s="52">
        <f>VLOOKUP($A51,[5]FY21!$W:$AF,6,FALSE)</f>
        <v>44454.83146067417</v>
      </c>
      <c r="CI51" s="37">
        <f>VLOOKUP($A51,[5]FY22!$W:$AF,3,FALSE)</f>
        <v>51607.004600983666</v>
      </c>
      <c r="CJ51" s="37">
        <f>VLOOKUP($A51,[5]FY22!$W:$AF,4,FALSE)</f>
        <v>90366.191950464403</v>
      </c>
      <c r="CK51" s="37">
        <f>VLOOKUP($A51,[5]FY22!$W:$AF,5,FALSE)</f>
        <v>52369.897750511249</v>
      </c>
      <c r="CL51" s="37">
        <f>VLOOKUP($A51,[5]FY22!$W:$AF,6,FALSE)</f>
        <v>48117.210484086652</v>
      </c>
      <c r="CM51" s="52">
        <f>VLOOKUP($A51,[5]FY23!$W:$AF,3,FALSE)</f>
        <v>54137.996203680777</v>
      </c>
      <c r="CN51" s="52">
        <f>VLOOKUP($A51,[5]FY23!$W:$AF,4,FALSE)</f>
        <v>87931.435768261959</v>
      </c>
      <c r="CO51" s="52">
        <f>VLOOKUP($A51,[5]FY23!$W:$AF,5,FALSE)</f>
        <v>59952.270270270274</v>
      </c>
      <c r="CP51" s="52">
        <f>VLOOKUP($A51,[5]FY23!$W:$AF,6,FALSE)</f>
        <v>51865.798678585321</v>
      </c>
      <c r="CQ51" s="5" t="s">
        <v>222</v>
      </c>
      <c r="CR51" s="4" t="s">
        <v>222</v>
      </c>
      <c r="CS51" s="4" t="s">
        <v>222</v>
      </c>
      <c r="CT51" s="4" t="s">
        <v>222</v>
      </c>
      <c r="CU51" s="4" t="s">
        <v>222</v>
      </c>
      <c r="CV51" s="4" t="s">
        <v>222</v>
      </c>
      <c r="CW51" s="4" t="s">
        <v>222</v>
      </c>
      <c r="CX51" s="4" t="s">
        <v>222</v>
      </c>
      <c r="CY51" t="s">
        <v>223</v>
      </c>
      <c r="CZ51" t="s">
        <v>223</v>
      </c>
      <c r="DA51" t="s">
        <v>223</v>
      </c>
      <c r="DB51">
        <v>0</v>
      </c>
      <c r="DC51">
        <v>2</v>
      </c>
      <c r="DD51">
        <v>3</v>
      </c>
      <c r="DE51">
        <v>0</v>
      </c>
      <c r="DF51">
        <v>2</v>
      </c>
      <c r="DG51">
        <v>0</v>
      </c>
      <c r="DH51">
        <v>0</v>
      </c>
      <c r="DI51">
        <v>5</v>
      </c>
      <c r="DJ51">
        <v>0</v>
      </c>
      <c r="DK51">
        <v>2</v>
      </c>
      <c r="DL51">
        <v>0</v>
      </c>
      <c r="DM51">
        <v>1</v>
      </c>
      <c r="DN51">
        <v>1</v>
      </c>
      <c r="DO51">
        <v>2</v>
      </c>
      <c r="DP51">
        <v>0</v>
      </c>
      <c r="DQ51" s="5">
        <v>0</v>
      </c>
      <c r="DR51" s="5">
        <v>0.28599999999999998</v>
      </c>
      <c r="DS51" s="5">
        <v>0.42899999999999999</v>
      </c>
      <c r="DT51" s="5">
        <v>0</v>
      </c>
      <c r="DU51" s="5">
        <v>0.28599999999999998</v>
      </c>
      <c r="DV51" s="5">
        <v>0</v>
      </c>
      <c r="DW51" s="5">
        <v>0</v>
      </c>
      <c r="DX51" s="5">
        <v>0.71399999999999997</v>
      </c>
      <c r="DY51" s="5">
        <v>0</v>
      </c>
      <c r="DZ51" s="5">
        <v>0.28599999999999998</v>
      </c>
      <c r="EA51" s="5">
        <v>0</v>
      </c>
      <c r="EB51" s="5">
        <v>0.14299999999999999</v>
      </c>
      <c r="EC51" s="5">
        <v>0.14299999999999999</v>
      </c>
      <c r="ED51" s="5">
        <v>0.28599999999999998</v>
      </c>
      <c r="EE51" s="5">
        <v>0</v>
      </c>
      <c r="EF51" s="36">
        <f>VLOOKUP($A51,'[6]Updated (2)'!$A$2:$Q$54,2,FALSE)</f>
        <v>0</v>
      </c>
      <c r="EG51" s="36">
        <f>VLOOKUP($A51,'[6]Updated (2)'!$A$2:$Q$54,3,FALSE)</f>
        <v>0</v>
      </c>
      <c r="EH51" s="36">
        <f>VLOOKUP($A51,'[6]Updated (2)'!$A$2:$Q$54,4,FALSE)</f>
        <v>0</v>
      </c>
      <c r="EI51" s="36">
        <f>VLOOKUP($A51,'[6]Updated (2)'!$A$2:$Q$54,5,FALSE)</f>
        <v>0</v>
      </c>
      <c r="EJ51" s="48">
        <f>VLOOKUP($A51,'[6]Updated (2)'!$A$2:$Q$54,6,FALSE)</f>
        <v>0</v>
      </c>
      <c r="EK51" s="48">
        <f>VLOOKUP($A51,'[6]Updated (2)'!$A$2:$Q$54,7,FALSE)</f>
        <v>0</v>
      </c>
      <c r="EL51" s="48">
        <f>VLOOKUP($A51,'[6]Updated (2)'!$A$2:$Q$54,8,FALSE)</f>
        <v>0</v>
      </c>
      <c r="EM51" s="48">
        <f>VLOOKUP($A51,'[6]Updated (2)'!$A$2:$Q$54,9,FALSE)</f>
        <v>0</v>
      </c>
      <c r="EN51" s="36">
        <f>VLOOKUP($A51,'[6]Updated (2)'!$A$2:$Q$54,10,FALSE)</f>
        <v>0</v>
      </c>
      <c r="EO51" s="36">
        <f>VLOOKUP($A51,'[6]Updated (2)'!$A$2:$Q$54,11,FALSE)</f>
        <v>0</v>
      </c>
      <c r="EP51" s="36">
        <f>VLOOKUP($A51,'[6]Updated (2)'!$A$2:$Q$54,12,FALSE)</f>
        <v>0</v>
      </c>
      <c r="EQ51" s="36">
        <f>VLOOKUP($A51,'[6]Updated (2)'!$A$2:$Q$54,13,FALSE)</f>
        <v>0</v>
      </c>
      <c r="ER51" s="48">
        <f>VLOOKUP($A51,'[6]Updated (2)'!$A$2:$Q$54,14,FALSE)</f>
        <v>0</v>
      </c>
      <c r="ES51" s="48">
        <f>VLOOKUP($A51,'[6]Updated (2)'!$A$2:$Q$54,15,FALSE)</f>
        <v>0</v>
      </c>
      <c r="ET51" s="48">
        <f>VLOOKUP($A51,'[6]Updated (2)'!$A$2:$Q$54,16,FALSE)</f>
        <v>0</v>
      </c>
      <c r="EU51" s="48">
        <f>VLOOKUP($A51,'[6]Updated (2)'!$A$2:$Q$54,17,FALSE)</f>
        <v>0</v>
      </c>
      <c r="EV51" s="37">
        <f>VLOOKUP($A51,[7]Totals!$A51:$F102,3,FALSE)-SUM(EF51:EI51)</f>
        <v>41030668.899999954</v>
      </c>
      <c r="EW51" s="37">
        <f>VLOOKUP($A51,[7]Totals!$A51:$F102,4,FALSE)-SUM(EJ51:EM51)</f>
        <v>43657736.240000151</v>
      </c>
      <c r="EX51" s="37">
        <f>VLOOKUP($A51,[7]Totals!$A51:$F102,5,FALSE)-SUM(EN51:EQ51)</f>
        <v>43733321.020000026</v>
      </c>
      <c r="EY51" s="37">
        <f>VLOOKUP($A51,[7]Totals!$A51:$F102,6,FALSE)-SUM(ER51:EU51)</f>
        <v>49489922.84999992</v>
      </c>
      <c r="EZ51" s="52">
        <f t="shared" si="22"/>
        <v>22320.991018436387</v>
      </c>
      <c r="FA51" s="52">
        <f t="shared" si="23"/>
        <v>24080.51684785914</v>
      </c>
      <c r="FB51" s="52">
        <f t="shared" si="24"/>
        <v>24273.364611200548</v>
      </c>
      <c r="FC51" s="52">
        <f t="shared" si="25"/>
        <v>27843.841797896897</v>
      </c>
      <c r="FD51" s="37">
        <f>VLOOKUP($A51,[8]Totals!$A$2:$F$54,3)-SUM(EF51:EI51)</f>
        <v>39937520.579999961</v>
      </c>
      <c r="FE51" s="37">
        <f>VLOOKUP($A51,[8]Totals!$A$2:$F$54,4)-SUM(EJ51:EM51)</f>
        <v>42257744.460000113</v>
      </c>
      <c r="FF51" s="37">
        <f>VLOOKUP($A51,[8]Totals!$A$2:$F$54,5)-SUM(EN51:EQ51)</f>
        <v>41447269.520000033</v>
      </c>
      <c r="FG51" s="37">
        <f>VLOOKUP($A51,[8]Totals!$A$2:$F$54,6)-SUM(ER51:EU51)</f>
        <v>48587806.930000022</v>
      </c>
      <c r="FH51" s="52">
        <f t="shared" si="26"/>
        <v>21726.310149547637</v>
      </c>
      <c r="FI51" s="52">
        <f t="shared" si="27"/>
        <v>23308.316350338449</v>
      </c>
      <c r="FJ51" s="52">
        <f t="shared" si="28"/>
        <v>23004.534339790214</v>
      </c>
      <c r="FK51" s="52">
        <f t="shared" si="29"/>
        <v>27336.296594482999</v>
      </c>
      <c r="FL51" s="37">
        <f>VLOOKUP($A51,[9]Totals!$A$3:$F$54,3)-SUM(EF51:EI51)</f>
        <v>35765162.29999999</v>
      </c>
      <c r="FM51" s="37">
        <f>VLOOKUP($A51,[9]Totals!$A$3:$F$54,4)-SUM(EJ51:EM51)</f>
        <v>36111364.990000039</v>
      </c>
      <c r="FN51" s="37">
        <f>VLOOKUP($A51,[9]Totals!$A$3:$F$54,5)-SUM(EN51:EQ51)</f>
        <v>35762289.859999962</v>
      </c>
      <c r="FO51" s="37">
        <f>VLOOKUP($A51,[9]Totals!$A$3:$F$54,6)-SUM(ER51:EU51)</f>
        <v>39964418.760000028</v>
      </c>
      <c r="FP51" s="52">
        <f t="shared" si="30"/>
        <v>19456.516012860331</v>
      </c>
      <c r="FQ51" s="52">
        <f t="shared" si="31"/>
        <v>19918.126956022941</v>
      </c>
      <c r="FR51" s="52">
        <f t="shared" si="32"/>
        <v>19849.192351667847</v>
      </c>
      <c r="FS51" s="52">
        <f t="shared" si="33"/>
        <v>22484.637061792175</v>
      </c>
      <c r="FT51" s="37">
        <f>VLOOKUP($A51,[10]Calculations!$AF$3:$AJ$54,2,FALSE)-EI51</f>
        <v>12310191.299999999</v>
      </c>
      <c r="FU51" s="37">
        <f>VLOOKUP($A51,[10]Calculations!$AF$3:$AJ$54,3,FALSE)-EM51</f>
        <v>7791283.6600000001</v>
      </c>
      <c r="FV51" s="37">
        <f>VLOOKUP($A51,[10]Calculations!$AF$3:$AJ$54,4,FALSE)-EQ51</f>
        <v>8352999.1899999985</v>
      </c>
      <c r="FW51" s="37">
        <f>VLOOKUP($A51,[10]Calculations!$AF$3:$AJ$54,5,FALSE)-EU51</f>
        <v>8834358.4653559308</v>
      </c>
      <c r="FX51" s="52">
        <f t="shared" si="34"/>
        <v>36420.684319526626</v>
      </c>
      <c r="FY51" s="52">
        <f t="shared" si="35"/>
        <v>25970.945533333335</v>
      </c>
      <c r="FZ51" s="52">
        <f t="shared" si="36"/>
        <v>28315.251491525418</v>
      </c>
      <c r="GA51" s="52">
        <f t="shared" si="37"/>
        <v>28315.251491525418</v>
      </c>
    </row>
    <row r="52" spans="1:183" ht="15.75" x14ac:dyDescent="0.25">
      <c r="A52" s="66" t="s">
        <v>328</v>
      </c>
      <c r="B52" s="66" t="s">
        <v>329</v>
      </c>
      <c r="C52" s="67">
        <v>2</v>
      </c>
      <c r="D52" s="68" t="s">
        <v>272</v>
      </c>
      <c r="E52">
        <v>6</v>
      </c>
      <c r="F52" s="27">
        <v>1372</v>
      </c>
      <c r="G52" s="27">
        <v>1298</v>
      </c>
      <c r="H52" s="27">
        <v>1324</v>
      </c>
      <c r="I52" s="27">
        <v>1244</v>
      </c>
      <c r="J52" s="23">
        <v>133</v>
      </c>
      <c r="K52" s="23">
        <v>125</v>
      </c>
      <c r="L52" s="23">
        <v>131</v>
      </c>
      <c r="M52" s="23">
        <v>118</v>
      </c>
      <c r="N52" s="27">
        <v>1239</v>
      </c>
      <c r="O52" s="27">
        <v>1173</v>
      </c>
      <c r="P52" s="27">
        <v>1193</v>
      </c>
      <c r="Q52" s="27">
        <v>1126</v>
      </c>
      <c r="R52" s="25">
        <f>VLOOKUP($A52,'ADM, LTADM'!$B:$L,2,FALSE)</f>
        <v>1338.7199999999998</v>
      </c>
      <c r="S52" s="25">
        <f>VLOOKUP($A52,'ADM, LTADM'!$B:$L,3,FALSE)</f>
        <v>1317.49</v>
      </c>
      <c r="T52" s="25">
        <f>VLOOKUP($A52,'ADM, LTADM'!$B:$L,4,FALSE)</f>
        <v>1329.19</v>
      </c>
      <c r="U52" s="25">
        <f>VLOOKUP($A52,'ADM, LTADM'!$B:$L,5,FALSE)</f>
        <v>1333.72</v>
      </c>
      <c r="V52" s="29">
        <f>VLOOKUP($A52,'ADM, LTADM'!$B:$L,7,FALSE)</f>
        <v>1339.4</v>
      </c>
      <c r="W52" s="29">
        <f>VLOOKUP($A52,'ADM, LTADM'!$B:$L,8,FALSE)</f>
        <v>1327.9299999999998</v>
      </c>
      <c r="X52" s="29">
        <f>VLOOKUP($A52,'ADM, LTADM'!$B:$L,9,FALSE)</f>
        <v>1333.67</v>
      </c>
      <c r="Y52" s="29">
        <f>VLOOKUP($A52,'ADM, LTADM'!$B:$L,10,FALSE)</f>
        <v>1334.23</v>
      </c>
      <c r="Z52" s="10">
        <v>1364.76</v>
      </c>
      <c r="AA52" s="10">
        <v>1335.0800000000002</v>
      </c>
      <c r="AB52" s="10">
        <v>1315.37</v>
      </c>
      <c r="AC52" s="10">
        <v>1312.47</v>
      </c>
      <c r="AD52" s="2">
        <v>0.44845814977973569</v>
      </c>
      <c r="AE52" s="2">
        <v>0.46530989824236818</v>
      </c>
      <c r="AF52" s="2">
        <v>0.38204225352112675</v>
      </c>
      <c r="AG52" s="2">
        <v>0.31720430107526881</v>
      </c>
      <c r="AH52" s="2">
        <f t="shared" si="38"/>
        <v>0.43193676718107693</v>
      </c>
      <c r="AI52" s="46">
        <f>VLOOKUP(A52,'[1]SU_SD IDEA 3-21'!$A:$B,2,FALSE)</f>
        <v>229</v>
      </c>
      <c r="AJ52" s="46">
        <f>VLOOKUP(A52,'[2]SU_SD IDEA 3-21'!$A:$B,2,FALSE)</f>
        <v>236</v>
      </c>
      <c r="AK52" s="46">
        <f>VLOOKUP(A52,'[3]SU_SD IDEA 3-21'!$A:$B,2,FALSE)</f>
        <v>249</v>
      </c>
      <c r="AL52" s="46">
        <f>VLOOKUP($A52,'[4]SU_SD IDEA 3-21'!$A:$B,2,FALSE)</f>
        <v>247</v>
      </c>
      <c r="AM52" s="22">
        <f t="shared" si="18"/>
        <v>0.17105892195530062</v>
      </c>
      <c r="AN52" s="22">
        <f t="shared" si="19"/>
        <v>0.17912849433392283</v>
      </c>
      <c r="AO52" s="22">
        <f t="shared" si="20"/>
        <v>0.18733213460829526</v>
      </c>
      <c r="AP52" s="22">
        <f t="shared" si="21"/>
        <v>0.18519629307500823</v>
      </c>
      <c r="AQ52" s="26" t="s">
        <v>222</v>
      </c>
      <c r="AR52" s="26">
        <v>0</v>
      </c>
      <c r="AS52" s="26" t="s">
        <v>222</v>
      </c>
      <c r="AT52" s="26" t="s">
        <v>222</v>
      </c>
      <c r="AU52" s="2"/>
      <c r="AV52" s="2"/>
      <c r="AW52" s="2"/>
      <c r="AX52" s="2"/>
      <c r="AY52" s="2"/>
      <c r="AZ52" s="2"/>
      <c r="BA52" s="2"/>
      <c r="BB52" s="2"/>
      <c r="BC52" s="2">
        <v>0.46402877697841727</v>
      </c>
      <c r="BD52" s="2">
        <v>0.36162361623616235</v>
      </c>
      <c r="BE52" s="2">
        <v>0.46052631578947367</v>
      </c>
      <c r="BF52" s="8">
        <v>0.42</v>
      </c>
      <c r="BG52" s="2">
        <v>0.30935251798561153</v>
      </c>
      <c r="BH52" s="2">
        <v>0.25555555555555554</v>
      </c>
      <c r="BI52" s="2">
        <v>0.24324324324324326</v>
      </c>
      <c r="BJ52" s="8">
        <v>0.28000000000000003</v>
      </c>
      <c r="BK52" s="31">
        <f>VLOOKUP($A52,[5]FY20!$W:$AF,7,FALSE)</f>
        <v>7.9227405247813412</v>
      </c>
      <c r="BL52" s="31">
        <f>VLOOKUP($A52,[5]FY20!$W:$AF,8,FALSE)</f>
        <v>0.94752186588921283</v>
      </c>
      <c r="BM52" s="31">
        <f>VLOOKUP($A52,[5]FY20!$W:$AF,9,FALSE)</f>
        <v>1.8294460641399417</v>
      </c>
      <c r="BN52" s="31">
        <f>VLOOKUP($A52,[5]FY20!$W:$AF,10,FALSE)</f>
        <v>3.2871720116618075</v>
      </c>
      <c r="BO52" s="55">
        <f>VLOOKUP($A52,[5]FY21!$W:$AF,7,FALSE)</f>
        <v>7.7113702623906715</v>
      </c>
      <c r="BP52" s="55">
        <f>VLOOKUP($A52,[5]FY21!$W:$AF,8,FALSE)</f>
        <v>1.0932944606413995</v>
      </c>
      <c r="BQ52" s="55">
        <f>VLOOKUP($A52,[5]FY21!$W:$AF,9,FALSE)</f>
        <v>1.7857142857142856</v>
      </c>
      <c r="BR52" s="55">
        <f>VLOOKUP($A52,[5]FY21!$W:$AF,10,FALSE)</f>
        <v>3.3673469387755102</v>
      </c>
      <c r="BS52" s="31">
        <f>VLOOKUP($A52,[5]FY22!$W:$AF,7,FALSE)</f>
        <v>8.8264878457669731</v>
      </c>
      <c r="BT52" s="31">
        <f>VLOOKUP($A52,[5]FY22!$W:$AF,8,FALSE)</f>
        <v>1.173512154233026</v>
      </c>
      <c r="BU52" s="31">
        <f>VLOOKUP($A52,[5]FY22!$W:$AF,9,FALSE)</f>
        <v>2.347024308466052</v>
      </c>
      <c r="BV52" s="31">
        <f>VLOOKUP($A52,[5]FY22!$W:$AF,10,FALSE)</f>
        <v>3.3948030176026824</v>
      </c>
      <c r="BW52" s="55">
        <f>VLOOKUP($A52,[5]FY23!$W:$AF,7,FALSE)</f>
        <v>9.6358792184724695</v>
      </c>
      <c r="BX52" s="55">
        <f>VLOOKUP($A52,[5]FY23!$W:$AF,8,FALSE)</f>
        <v>1.4209591474245116</v>
      </c>
      <c r="BY52" s="55">
        <f>VLOOKUP($A52,[5]FY23!$W:$AF,9,FALSE)</f>
        <v>2.8863232682060391</v>
      </c>
      <c r="BZ52" s="55">
        <f>VLOOKUP($A52,[5]FY23!$W:$AF,10,FALSE)</f>
        <v>3.5168738898756664</v>
      </c>
      <c r="CA52" s="37">
        <f>VLOOKUP($A52,[5]FY20!$W:$AF,3,FALSE)</f>
        <v>54420.156393744248</v>
      </c>
      <c r="CB52" s="37">
        <f>VLOOKUP($A52,[5]FY20!$W:$AF,4,FALSE)</f>
        <v>89119.230769230766</v>
      </c>
      <c r="CC52" s="37">
        <f>VLOOKUP($A52,[5]FY20!$W:$AF,5,FALSE)</f>
        <v>59290.836653386454</v>
      </c>
      <c r="CD52" s="37">
        <f>VLOOKUP($A52,[5]FY20!$W:$AF,6,FALSE)</f>
        <v>39557.716186252772</v>
      </c>
      <c r="CE52" s="52">
        <f>VLOOKUP($A52,[5]FY21!$W:$AF,3,FALSE)</f>
        <v>56668.818525519848</v>
      </c>
      <c r="CF52" s="52">
        <f>VLOOKUP($A52,[5]FY21!$W:$AF,4,FALSE)</f>
        <v>83798.46666666666</v>
      </c>
      <c r="CG52" s="52">
        <f>VLOOKUP($A52,[5]FY21!$W:$AF,5,FALSE)</f>
        <v>60350.571428571428</v>
      </c>
      <c r="CH52" s="52">
        <f>VLOOKUP($A52,[5]FY21!$W:$AF,6,FALSE)</f>
        <v>42044.826839826834</v>
      </c>
      <c r="CI52" s="37">
        <f>VLOOKUP($A52,[5]FY22!$W:$AF,3,FALSE)</f>
        <v>59753.285849952525</v>
      </c>
      <c r="CJ52" s="37">
        <f>VLOOKUP($A52,[5]FY22!$W:$AF,4,FALSE)</f>
        <v>84069.357142857145</v>
      </c>
      <c r="CK52" s="37">
        <f>VLOOKUP($A52,[5]FY22!$W:$AF,5,FALSE)</f>
        <v>59133.178571428572</v>
      </c>
      <c r="CL52" s="37">
        <f>VLOOKUP($A52,[5]FY22!$W:$AF,6,FALSE)</f>
        <v>47152.864197530864</v>
      </c>
      <c r="CM52" s="52">
        <f>VLOOKUP($A52,[5]FY23!$W:$AF,3,FALSE)</f>
        <v>59924.267281105989</v>
      </c>
      <c r="CN52" s="52">
        <f>VLOOKUP($A52,[5]FY23!$W:$AF,4,FALSE)</f>
        <v>90092</v>
      </c>
      <c r="CO52" s="52">
        <f>VLOOKUP($A52,[5]FY23!$W:$AF,5,FALSE)</f>
        <v>54299.507692307692</v>
      </c>
      <c r="CP52" s="52">
        <f>VLOOKUP($A52,[5]FY23!$W:$AF,6,FALSE)</f>
        <v>48798.989898989894</v>
      </c>
      <c r="CQ52" s="5">
        <v>0.68700000000000006</v>
      </c>
      <c r="CR52" s="4">
        <v>0.84</v>
      </c>
      <c r="CS52" s="4">
        <v>0.82099999999999995</v>
      </c>
      <c r="CT52" s="4">
        <v>0.81299999999999994</v>
      </c>
      <c r="CU52" s="4">
        <v>0.76400000000000001</v>
      </c>
      <c r="CV52" s="4">
        <v>0.69699999999999995</v>
      </c>
      <c r="CW52" s="4">
        <v>0.63100000000000001</v>
      </c>
      <c r="CX52" s="4">
        <v>0.84499999999999997</v>
      </c>
      <c r="CY52" t="s">
        <v>223</v>
      </c>
      <c r="CZ52" t="s">
        <v>223</v>
      </c>
      <c r="DA52" t="s">
        <v>223</v>
      </c>
      <c r="DB52">
        <v>0</v>
      </c>
      <c r="DC52">
        <v>0</v>
      </c>
      <c r="DD52">
        <v>6</v>
      </c>
      <c r="DE52">
        <v>0</v>
      </c>
      <c r="DF52">
        <v>0</v>
      </c>
      <c r="DG52">
        <v>0</v>
      </c>
      <c r="DH52">
        <v>1</v>
      </c>
      <c r="DI52">
        <v>5</v>
      </c>
      <c r="DJ52">
        <v>0</v>
      </c>
      <c r="DK52">
        <v>0</v>
      </c>
      <c r="DL52">
        <v>0</v>
      </c>
      <c r="DM52">
        <v>1</v>
      </c>
      <c r="DN52">
        <v>2</v>
      </c>
      <c r="DO52">
        <v>2</v>
      </c>
      <c r="DP52">
        <v>0</v>
      </c>
      <c r="DQ52" s="5">
        <v>0</v>
      </c>
      <c r="DR52" s="5">
        <v>0</v>
      </c>
      <c r="DS52" s="5">
        <v>1</v>
      </c>
      <c r="DT52" s="5">
        <v>0</v>
      </c>
      <c r="DU52" s="5">
        <v>0</v>
      </c>
      <c r="DV52" s="5">
        <v>0</v>
      </c>
      <c r="DW52" s="5">
        <v>0.16700000000000001</v>
      </c>
      <c r="DX52" s="5">
        <v>0.83299999999999996</v>
      </c>
      <c r="DY52" s="5">
        <v>0</v>
      </c>
      <c r="DZ52" s="5">
        <v>0</v>
      </c>
      <c r="EA52" s="5">
        <v>0</v>
      </c>
      <c r="EB52" s="5">
        <v>0.16700000000000001</v>
      </c>
      <c r="EC52" s="5">
        <v>0.33300000000000002</v>
      </c>
      <c r="ED52" s="5">
        <v>0.33300000000000002</v>
      </c>
      <c r="EE52" s="5">
        <v>0</v>
      </c>
      <c r="EF52" s="36">
        <f>VLOOKUP($A52,'[6]Updated (2)'!$A$2:$Q$54,2,FALSE)</f>
        <v>0</v>
      </c>
      <c r="EG52" s="36">
        <f>VLOOKUP($A52,'[6]Updated (2)'!$A$2:$Q$54,3,FALSE)</f>
        <v>0</v>
      </c>
      <c r="EH52" s="36">
        <f>VLOOKUP($A52,'[6]Updated (2)'!$A$2:$Q$54,4,FALSE)</f>
        <v>0</v>
      </c>
      <c r="EI52" s="36">
        <f>VLOOKUP($A52,'[6]Updated (2)'!$A$2:$Q$54,5,FALSE)</f>
        <v>0</v>
      </c>
      <c r="EJ52" s="48">
        <f>VLOOKUP($A52,'[6]Updated (2)'!$A$2:$Q$54,6,FALSE)</f>
        <v>0</v>
      </c>
      <c r="EK52" s="48">
        <f>VLOOKUP($A52,'[6]Updated (2)'!$A$2:$Q$54,7,FALSE)</f>
        <v>0</v>
      </c>
      <c r="EL52" s="48">
        <f>VLOOKUP($A52,'[6]Updated (2)'!$A$2:$Q$54,8,FALSE)</f>
        <v>0</v>
      </c>
      <c r="EM52" s="48">
        <f>VLOOKUP($A52,'[6]Updated (2)'!$A$2:$Q$54,9,FALSE)</f>
        <v>0</v>
      </c>
      <c r="EN52" s="36">
        <f>VLOOKUP($A52,'[6]Updated (2)'!$A$2:$Q$54,10,FALSE)</f>
        <v>0</v>
      </c>
      <c r="EO52" s="36">
        <f>VLOOKUP($A52,'[6]Updated (2)'!$A$2:$Q$54,11,FALSE)</f>
        <v>0</v>
      </c>
      <c r="EP52" s="36">
        <f>VLOOKUP($A52,'[6]Updated (2)'!$A$2:$Q$54,12,FALSE)</f>
        <v>0</v>
      </c>
      <c r="EQ52" s="36">
        <f>VLOOKUP($A52,'[6]Updated (2)'!$A$2:$Q$54,13,FALSE)</f>
        <v>0</v>
      </c>
      <c r="ER52" s="48">
        <f>VLOOKUP($A52,'[6]Updated (2)'!$A$2:$Q$54,14,FALSE)</f>
        <v>0</v>
      </c>
      <c r="ES52" s="48">
        <f>VLOOKUP($A52,'[6]Updated (2)'!$A$2:$Q$54,15,FALSE)</f>
        <v>0</v>
      </c>
      <c r="ET52" s="48">
        <f>VLOOKUP($A52,'[6]Updated (2)'!$A$2:$Q$54,16,FALSE)</f>
        <v>0</v>
      </c>
      <c r="EU52" s="48">
        <f>VLOOKUP($A52,'[6]Updated (2)'!$A$2:$Q$54,17,FALSE)</f>
        <v>0</v>
      </c>
      <c r="EV52" s="37">
        <f>VLOOKUP($A52,[7]Totals!$A52:$F103,3,FALSE)-SUM(EF52:EI52)</f>
        <v>26771632.780000001</v>
      </c>
      <c r="EW52" s="37">
        <f>VLOOKUP($A52,[7]Totals!$A52:$F103,4,FALSE)-SUM(EJ52:EM52)</f>
        <v>26935577.959999982</v>
      </c>
      <c r="EX52" s="37">
        <f>VLOOKUP($A52,[7]Totals!$A52:$F103,5,FALSE)-SUM(EN52:EQ52)</f>
        <v>30857983.059999999</v>
      </c>
      <c r="EY52" s="37">
        <f>VLOOKUP($A52,[7]Totals!$A52:$F103,6,FALSE)-SUM(ER52:EU52)</f>
        <v>32104359.650000013</v>
      </c>
      <c r="EZ52" s="52">
        <f t="shared" si="22"/>
        <v>19987.780185157531</v>
      </c>
      <c r="FA52" s="52">
        <f t="shared" si="23"/>
        <v>20283.883909543412</v>
      </c>
      <c r="FB52" s="52">
        <f t="shared" si="24"/>
        <v>23137.645039627492</v>
      </c>
      <c r="FC52" s="52">
        <f t="shared" si="25"/>
        <v>24062.087983331221</v>
      </c>
      <c r="FD52" s="37">
        <f>VLOOKUP($A52,[8]Totals!$A$2:$F$54,3)-SUM(EF52:EI52)</f>
        <v>26012359.920000006</v>
      </c>
      <c r="FE52" s="37">
        <f>VLOOKUP($A52,[8]Totals!$A$2:$F$54,4)-SUM(EJ52:EM52)</f>
        <v>26237639.219999991</v>
      </c>
      <c r="FF52" s="37">
        <f>VLOOKUP($A52,[8]Totals!$A$2:$F$54,5)-SUM(EN52:EQ52)</f>
        <v>30022206.249999996</v>
      </c>
      <c r="FG52" s="37">
        <f>VLOOKUP($A52,[8]Totals!$A$2:$F$54,6)-SUM(ER52:EU52)</f>
        <v>31108572.690000013</v>
      </c>
      <c r="FH52" s="52">
        <f t="shared" si="26"/>
        <v>19420.904823055102</v>
      </c>
      <c r="FI52" s="52">
        <f t="shared" si="27"/>
        <v>19758.299925447875</v>
      </c>
      <c r="FJ52" s="52">
        <f t="shared" si="28"/>
        <v>22510.970667406476</v>
      </c>
      <c r="FK52" s="52">
        <f t="shared" si="29"/>
        <v>23315.749675843006</v>
      </c>
      <c r="FL52" s="37">
        <f>VLOOKUP($A52,[9]Totals!$A$3:$F$54,3)-SUM(EF52:EI52)</f>
        <v>23884128.809999991</v>
      </c>
      <c r="FM52" s="37">
        <f>VLOOKUP($A52,[9]Totals!$A$3:$F$54,4)-SUM(EJ52:EM52)</f>
        <v>24045932.039999984</v>
      </c>
      <c r="FN52" s="37">
        <f>VLOOKUP($A52,[9]Totals!$A$3:$F$54,5)-SUM(EN52:EQ52)</f>
        <v>26395931.129999995</v>
      </c>
      <c r="FO52" s="37">
        <f>VLOOKUP($A52,[9]Totals!$A$3:$F$54,6)-SUM(ER52:EU52)</f>
        <v>28080922.930000015</v>
      </c>
      <c r="FP52" s="52">
        <f t="shared" si="30"/>
        <v>17831.961184112282</v>
      </c>
      <c r="FQ52" s="52">
        <f t="shared" si="31"/>
        <v>18107.831015189044</v>
      </c>
      <c r="FR52" s="52">
        <f t="shared" si="32"/>
        <v>19791.950879902819</v>
      </c>
      <c r="FS52" s="52">
        <f t="shared" si="33"/>
        <v>21046.538400425725</v>
      </c>
      <c r="FT52" s="37">
        <f>VLOOKUP($A52,[10]Calculations!$AF$3:$AJ$54,2,FALSE)-EI52</f>
        <v>5165433.4499999983</v>
      </c>
      <c r="FU52" s="37">
        <f>VLOOKUP($A52,[10]Calculations!$AF$3:$AJ$54,3,FALSE)-EM52</f>
        <v>6428231.6100000013</v>
      </c>
      <c r="FV52" s="37">
        <f>VLOOKUP($A52,[10]Calculations!$AF$3:$AJ$54,4,FALSE)-EQ52</f>
        <v>7055972.8500000006</v>
      </c>
      <c r="FW52" s="37">
        <f>VLOOKUP($A52,[10]Calculations!$AF$3:$AJ$54,5,FALSE)-EU52</f>
        <v>6999298.3692771094</v>
      </c>
      <c r="FX52" s="52">
        <f t="shared" si="34"/>
        <v>22556.477947598247</v>
      </c>
      <c r="FY52" s="52">
        <f t="shared" si="35"/>
        <v>27238.26953389831</v>
      </c>
      <c r="FZ52" s="52">
        <f t="shared" si="36"/>
        <v>28337.240361445787</v>
      </c>
      <c r="GA52" s="52">
        <f t="shared" si="37"/>
        <v>28337.240361445787</v>
      </c>
    </row>
    <row r="53" spans="1:183" ht="15.75" x14ac:dyDescent="0.25">
      <c r="A53" s="66" t="s">
        <v>330</v>
      </c>
      <c r="B53" s="66" t="s">
        <v>331</v>
      </c>
      <c r="C53" s="67">
        <v>2</v>
      </c>
      <c r="D53" s="68" t="s">
        <v>272</v>
      </c>
      <c r="E53">
        <v>4</v>
      </c>
      <c r="F53" s="27">
        <v>1249</v>
      </c>
      <c r="G53" s="27">
        <v>1175</v>
      </c>
      <c r="H53" s="27">
        <v>1246</v>
      </c>
      <c r="I53" s="27">
        <v>1229</v>
      </c>
      <c r="J53" s="23">
        <v>115</v>
      </c>
      <c r="K53" s="23">
        <v>72</v>
      </c>
      <c r="L53" s="23">
        <v>95</v>
      </c>
      <c r="M53" s="23">
        <v>101</v>
      </c>
      <c r="N53" s="27">
        <v>1134</v>
      </c>
      <c r="O53" s="27">
        <v>1103</v>
      </c>
      <c r="P53" s="27">
        <v>1151</v>
      </c>
      <c r="Q53" s="27">
        <v>1128</v>
      </c>
      <c r="R53" s="25">
        <f>VLOOKUP($A53,'ADM, LTADM'!$B:$L,2,FALSE)</f>
        <v>1257.5899999999999</v>
      </c>
      <c r="S53" s="25">
        <f>VLOOKUP($A53,'ADM, LTADM'!$B:$L,3,FALSE)</f>
        <v>1252.8599999999999</v>
      </c>
      <c r="T53" s="25">
        <f>VLOOKUP($A53,'ADM, LTADM'!$B:$L,4,FALSE)</f>
        <v>1232.3700000000001</v>
      </c>
      <c r="U53" s="25">
        <f>VLOOKUP($A53,'ADM, LTADM'!$B:$L,5,FALSE)</f>
        <v>1177.58</v>
      </c>
      <c r="V53" s="29">
        <f>VLOOKUP($A53,'ADM, LTADM'!$B:$L,7,FALSE)</f>
        <v>1255.9299999999998</v>
      </c>
      <c r="W53" s="29">
        <f>VLOOKUP($A53,'ADM, LTADM'!$B:$L,8,FALSE)</f>
        <v>1264.8400000000001</v>
      </c>
      <c r="X53" s="29">
        <f>VLOOKUP($A53,'ADM, LTADM'!$B:$L,9,FALSE)</f>
        <v>1249.2600000000002</v>
      </c>
      <c r="Y53" s="29">
        <f>VLOOKUP($A53,'ADM, LTADM'!$B:$L,10,FALSE)</f>
        <v>1209.93</v>
      </c>
      <c r="Z53" s="10">
        <v>1241.02</v>
      </c>
      <c r="AA53" s="10">
        <v>1255.03</v>
      </c>
      <c r="AB53" s="10">
        <v>1260.5899999999999</v>
      </c>
      <c r="AC53" s="10">
        <v>1248.74</v>
      </c>
      <c r="AD53" s="2">
        <v>0.18301225919439579</v>
      </c>
      <c r="AE53" s="2">
        <v>0.15633423180592992</v>
      </c>
      <c r="AF53" s="2">
        <v>0.21602787456445993</v>
      </c>
      <c r="AG53" s="2">
        <v>0.21712268314210062</v>
      </c>
      <c r="AH53" s="2">
        <f t="shared" si="38"/>
        <v>0.1851247885215952</v>
      </c>
      <c r="AI53" s="46">
        <f>VLOOKUP(A53,'[1]SU_SD IDEA 3-21'!$A:$B,2,FALSE)</f>
        <v>124</v>
      </c>
      <c r="AJ53" s="46">
        <f>VLOOKUP(A53,'[2]SU_SD IDEA 3-21'!$A:$B,2,FALSE)</f>
        <v>128</v>
      </c>
      <c r="AK53" s="46">
        <f>VLOOKUP(A53,'[3]SU_SD IDEA 3-21'!$A:$B,2,FALSE)</f>
        <v>135</v>
      </c>
      <c r="AL53" s="46">
        <f>VLOOKUP($A53,'[4]SU_SD IDEA 3-21'!$A:$B,2,FALSE)</f>
        <v>138</v>
      </c>
      <c r="AM53" s="22">
        <f t="shared" si="18"/>
        <v>9.8601292949212382E-2</v>
      </c>
      <c r="AN53" s="22">
        <f t="shared" si="19"/>
        <v>0.10216624363456413</v>
      </c>
      <c r="AO53" s="22">
        <f t="shared" si="20"/>
        <v>0.10954502300445482</v>
      </c>
      <c r="AP53" s="22">
        <f t="shared" si="21"/>
        <v>0.11718949031063708</v>
      </c>
      <c r="AQ53" s="26">
        <v>3.9404553415061293E-2</v>
      </c>
      <c r="AR53" s="26">
        <v>3.4141958670260555E-2</v>
      </c>
      <c r="AS53" s="26">
        <v>3.048780487804878E-2</v>
      </c>
      <c r="AT53" s="26">
        <v>3.7069726390114736E-2</v>
      </c>
      <c r="AU53" s="2"/>
      <c r="AV53" s="2"/>
      <c r="AW53" s="2"/>
      <c r="AX53" s="2"/>
      <c r="AY53" s="2"/>
      <c r="AZ53" s="2"/>
      <c r="BA53" s="2"/>
      <c r="BB53" s="2"/>
      <c r="BC53" s="2">
        <v>0.68627450980392157</v>
      </c>
      <c r="BD53" s="2">
        <v>0.752</v>
      </c>
      <c r="BE53" s="2">
        <v>0.62068965517241381</v>
      </c>
      <c r="BF53" s="8">
        <v>0.7</v>
      </c>
      <c r="BG53" s="2">
        <v>0.41960784313725491</v>
      </c>
      <c r="BH53" s="2">
        <v>0.61111111111111116</v>
      </c>
      <c r="BI53" s="2">
        <v>0.4</v>
      </c>
      <c r="BJ53" s="8">
        <v>0.5</v>
      </c>
      <c r="BK53" s="31">
        <f>VLOOKUP($A53,[5]FY20!$W:$AF,7,FALSE)</f>
        <v>8.7469975980784618</v>
      </c>
      <c r="BL53" s="31">
        <f>VLOOKUP($A53,[5]FY20!$W:$AF,8,FALSE)</f>
        <v>0.92073658927141722</v>
      </c>
      <c r="BM53" s="31">
        <f>VLOOKUP($A53,[5]FY20!$W:$AF,9,FALSE)</f>
        <v>2.0816653322658123</v>
      </c>
      <c r="BN53" s="31">
        <f>VLOOKUP($A53,[5]FY20!$W:$AF,10,FALSE)</f>
        <v>5.2602081665332268</v>
      </c>
      <c r="BO53" s="55">
        <f>VLOOKUP($A53,[5]FY21!$W:$AF,7,FALSE)</f>
        <v>8.8791032826260992</v>
      </c>
      <c r="BP53" s="55">
        <f>VLOOKUP($A53,[5]FY21!$W:$AF,8,FALSE)</f>
        <v>0.8406725380304243</v>
      </c>
      <c r="BQ53" s="55">
        <f>VLOOKUP($A53,[5]FY21!$W:$AF,9,FALSE)</f>
        <v>1.6253002401921537</v>
      </c>
      <c r="BR53" s="55">
        <f>VLOOKUP($A53,[5]FY21!$W:$AF,10,FALSE)</f>
        <v>4.9087269815852688</v>
      </c>
      <c r="BS53" s="31">
        <f>VLOOKUP($A53,[5]FY22!$W:$AF,7,FALSE)</f>
        <v>9.8774978279756738</v>
      </c>
      <c r="BT53" s="31">
        <f>VLOOKUP($A53,[5]FY22!$W:$AF,8,FALSE)</f>
        <v>0.99913119026933095</v>
      </c>
      <c r="BU53" s="31">
        <f>VLOOKUP($A53,[5]FY22!$W:$AF,9,FALSE)</f>
        <v>1.7636837532580365</v>
      </c>
      <c r="BV53" s="31">
        <f>VLOOKUP($A53,[5]FY22!$W:$AF,10,FALSE)</f>
        <v>5.1798436142484787</v>
      </c>
      <c r="BW53" s="55">
        <f>VLOOKUP($A53,[5]FY23!$W:$AF,7,FALSE)</f>
        <v>10.35904255319149</v>
      </c>
      <c r="BX53" s="55">
        <f>VLOOKUP($A53,[5]FY23!$W:$AF,8,FALSE)</f>
        <v>1.1081560283687943</v>
      </c>
      <c r="BY53" s="55">
        <f>VLOOKUP($A53,[5]FY23!$W:$AF,9,FALSE)</f>
        <v>1.8085106382978717</v>
      </c>
      <c r="BZ53" s="55">
        <f>VLOOKUP($A53,[5]FY23!$W:$AF,10,FALSE)</f>
        <v>5.580673758865248</v>
      </c>
      <c r="CA53" s="37">
        <f>VLOOKUP($A53,[5]FY20!$W:$AF,3,FALSE)</f>
        <v>57896.002837528598</v>
      </c>
      <c r="CB53" s="37">
        <f>VLOOKUP($A53,[5]FY20!$W:$AF,4,FALSE)</f>
        <v>95293.043478260865</v>
      </c>
      <c r="CC53" s="37">
        <f>VLOOKUP($A53,[5]FY20!$W:$AF,5,FALSE)</f>
        <v>47417.665384615386</v>
      </c>
      <c r="CD53" s="37">
        <f>VLOOKUP($A53,[5]FY20!$W:$AF,6,FALSE)</f>
        <v>36300.943987823455</v>
      </c>
      <c r="CE53" s="52">
        <f>VLOOKUP($A53,[5]FY21!$W:$AF,3,FALSE)</f>
        <v>59956.510910730387</v>
      </c>
      <c r="CF53" s="52">
        <f>VLOOKUP($A53,[5]FY21!$W:$AF,4,FALSE)</f>
        <v>96148.761904761908</v>
      </c>
      <c r="CG53" s="52">
        <f>VLOOKUP($A53,[5]FY21!$W:$AF,5,FALSE)</f>
        <v>61323.342364532022</v>
      </c>
      <c r="CH53" s="52">
        <f>VLOOKUP($A53,[5]FY21!$W:$AF,6,FALSE)</f>
        <v>39548.73332245963</v>
      </c>
      <c r="CI53" s="37">
        <f>VLOOKUP($A53,[5]FY22!$W:$AF,3,FALSE)</f>
        <v>62786.338288327897</v>
      </c>
      <c r="CJ53" s="37">
        <f>VLOOKUP($A53,[5]FY22!$W:$AF,4,FALSE)</f>
        <v>92748.608695652176</v>
      </c>
      <c r="CK53" s="37">
        <f>VLOOKUP($A53,[5]FY22!$W:$AF,5,FALSE)</f>
        <v>63064.733990147783</v>
      </c>
      <c r="CL53" s="37">
        <f>VLOOKUP($A53,[5]FY22!$W:$AF,6,FALSE)</f>
        <v>41487.114894330763</v>
      </c>
      <c r="CM53" s="52">
        <f>VLOOKUP($A53,[5]FY23!$W:$AF,3,FALSE)</f>
        <v>66593.209071459132</v>
      </c>
      <c r="CN53" s="52">
        <f>VLOOKUP($A53,[5]FY23!$W:$AF,4,FALSE)</f>
        <v>103086</v>
      </c>
      <c r="CO53" s="52">
        <f>VLOOKUP($A53,[5]FY23!$W:$AF,5,FALSE)</f>
        <v>65564.848039215707</v>
      </c>
      <c r="CP53" s="52">
        <f>VLOOKUP($A53,[5]FY23!$W:$AF,6,FALSE)</f>
        <v>40878.69769658459</v>
      </c>
      <c r="CQ53" s="5">
        <v>0.75</v>
      </c>
      <c r="CR53" s="4">
        <v>0.88700000000000001</v>
      </c>
      <c r="CS53" s="4">
        <v>0.92500000000000004</v>
      </c>
      <c r="CT53" s="4">
        <v>0.84299999999999997</v>
      </c>
      <c r="CU53" s="4">
        <v>0.80200000000000005</v>
      </c>
      <c r="CV53" s="4">
        <v>0.77</v>
      </c>
      <c r="CW53" s="4">
        <v>0.76900000000000002</v>
      </c>
      <c r="CX53" s="4">
        <v>0.93799999999999994</v>
      </c>
      <c r="CY53" t="s">
        <v>228</v>
      </c>
      <c r="CZ53" t="s">
        <v>228</v>
      </c>
      <c r="DA53" t="s">
        <v>248</v>
      </c>
      <c r="DB53">
        <v>0</v>
      </c>
      <c r="DC53">
        <v>3</v>
      </c>
      <c r="DD53">
        <v>0</v>
      </c>
      <c r="DE53">
        <v>1</v>
      </c>
      <c r="DF53">
        <v>0</v>
      </c>
      <c r="DG53">
        <v>0</v>
      </c>
      <c r="DH53">
        <v>1</v>
      </c>
      <c r="DI53">
        <v>2</v>
      </c>
      <c r="DJ53">
        <v>1</v>
      </c>
      <c r="DK53">
        <v>0</v>
      </c>
      <c r="DL53">
        <v>1</v>
      </c>
      <c r="DM53">
        <v>1</v>
      </c>
      <c r="DN53">
        <v>0</v>
      </c>
      <c r="DO53">
        <v>0</v>
      </c>
      <c r="DP53">
        <v>0</v>
      </c>
      <c r="DQ53" s="5">
        <v>0</v>
      </c>
      <c r="DR53" s="5">
        <v>0.75</v>
      </c>
      <c r="DS53" s="5">
        <v>0</v>
      </c>
      <c r="DT53" s="5">
        <v>0.25</v>
      </c>
      <c r="DU53" s="5">
        <v>0</v>
      </c>
      <c r="DV53" s="5">
        <v>0</v>
      </c>
      <c r="DW53" s="5">
        <v>0.25</v>
      </c>
      <c r="DX53" s="5">
        <v>0.5</v>
      </c>
      <c r="DY53" s="5">
        <v>0.25</v>
      </c>
      <c r="DZ53" s="5">
        <v>0</v>
      </c>
      <c r="EA53" s="5">
        <v>0.25</v>
      </c>
      <c r="EB53" s="5">
        <v>0.25</v>
      </c>
      <c r="EC53" s="5">
        <v>0</v>
      </c>
      <c r="ED53" s="5">
        <v>0</v>
      </c>
      <c r="EE53" s="5">
        <v>0</v>
      </c>
      <c r="EF53" s="36">
        <f>VLOOKUP($A53,'[6]Updated (2)'!$A$2:$Q$54,2,FALSE)</f>
        <v>0</v>
      </c>
      <c r="EG53" s="36">
        <f>VLOOKUP($A53,'[6]Updated (2)'!$A$2:$Q$54,3,FALSE)</f>
        <v>0</v>
      </c>
      <c r="EH53" s="36">
        <f>VLOOKUP($A53,'[6]Updated (2)'!$A$2:$Q$54,4,FALSE)</f>
        <v>0</v>
      </c>
      <c r="EI53" s="36">
        <f>VLOOKUP($A53,'[6]Updated (2)'!$A$2:$Q$54,5,FALSE)</f>
        <v>0</v>
      </c>
      <c r="EJ53" s="48">
        <f>VLOOKUP($A53,'[6]Updated (2)'!$A$2:$Q$54,6,FALSE)</f>
        <v>0</v>
      </c>
      <c r="EK53" s="48">
        <f>VLOOKUP($A53,'[6]Updated (2)'!$A$2:$Q$54,7,FALSE)</f>
        <v>0</v>
      </c>
      <c r="EL53" s="48">
        <f>VLOOKUP($A53,'[6]Updated (2)'!$A$2:$Q$54,8,FALSE)</f>
        <v>0</v>
      </c>
      <c r="EM53" s="48">
        <f>VLOOKUP($A53,'[6]Updated (2)'!$A$2:$Q$54,9,FALSE)</f>
        <v>0</v>
      </c>
      <c r="EN53" s="36">
        <f>VLOOKUP($A53,'[6]Updated (2)'!$A$2:$Q$54,10,FALSE)</f>
        <v>0</v>
      </c>
      <c r="EO53" s="36">
        <f>VLOOKUP($A53,'[6]Updated (2)'!$A$2:$Q$54,11,FALSE)</f>
        <v>0</v>
      </c>
      <c r="EP53" s="36">
        <f>VLOOKUP($A53,'[6]Updated (2)'!$A$2:$Q$54,12,FALSE)</f>
        <v>0</v>
      </c>
      <c r="EQ53" s="36">
        <f>VLOOKUP($A53,'[6]Updated (2)'!$A$2:$Q$54,13,FALSE)</f>
        <v>0</v>
      </c>
      <c r="ER53" s="48">
        <f>VLOOKUP($A53,'[6]Updated (2)'!$A$2:$Q$54,14,FALSE)</f>
        <v>0</v>
      </c>
      <c r="ES53" s="48">
        <f>VLOOKUP($A53,'[6]Updated (2)'!$A$2:$Q$54,15,FALSE)</f>
        <v>0</v>
      </c>
      <c r="ET53" s="48">
        <f>VLOOKUP($A53,'[6]Updated (2)'!$A$2:$Q$54,16,FALSE)</f>
        <v>0</v>
      </c>
      <c r="EU53" s="48">
        <f>VLOOKUP($A53,'[6]Updated (2)'!$A$2:$Q$54,17,FALSE)</f>
        <v>0</v>
      </c>
      <c r="EV53" s="37">
        <f>VLOOKUP($A53,[7]Totals!$A53:$F104,3,FALSE)-SUM(EF53:EI53)</f>
        <v>27229698.27999999</v>
      </c>
      <c r="EW53" s="37">
        <f>VLOOKUP($A53,[7]Totals!$A53:$F104,4,FALSE)-SUM(EJ53:EM53)</f>
        <v>25583965.329999961</v>
      </c>
      <c r="EX53" s="37">
        <f>VLOOKUP($A53,[7]Totals!$A53:$F104,5,FALSE)-SUM(EN53:EQ53)</f>
        <v>27267252.709999986</v>
      </c>
      <c r="EY53" s="37">
        <f>VLOOKUP($A53,[7]Totals!$A53:$F104,6,FALSE)-SUM(ER53:EU53)</f>
        <v>29752349.68999999</v>
      </c>
      <c r="EZ53" s="52">
        <f t="shared" si="22"/>
        <v>21680.904413462529</v>
      </c>
      <c r="FA53" s="52">
        <f t="shared" si="23"/>
        <v>20227.036882135257</v>
      </c>
      <c r="FB53" s="52">
        <f t="shared" si="24"/>
        <v>21826.723588364297</v>
      </c>
      <c r="FC53" s="52">
        <f t="shared" si="25"/>
        <v>24590.141322225245</v>
      </c>
      <c r="FD53" s="37">
        <f>VLOOKUP($A53,[8]Totals!$A$2:$F$54,3)-SUM(EF53:EI53)</f>
        <v>23063085.609999981</v>
      </c>
      <c r="FE53" s="37">
        <f>VLOOKUP($A53,[8]Totals!$A$2:$F$54,4)-SUM(EJ53:EM53)</f>
        <v>24176633.15999997</v>
      </c>
      <c r="FF53" s="37">
        <f>VLOOKUP($A53,[8]Totals!$A$2:$F$54,5)-SUM(EN53:EQ53)</f>
        <v>25618938.980000012</v>
      </c>
      <c r="FG53" s="37">
        <f>VLOOKUP($A53,[8]Totals!$A$2:$F$54,6)-SUM(ER53:EU53)</f>
        <v>27875562.129999992</v>
      </c>
      <c r="FH53" s="52">
        <f t="shared" si="26"/>
        <v>18363.352742589144</v>
      </c>
      <c r="FI53" s="52">
        <f t="shared" si="27"/>
        <v>19114.380601498979</v>
      </c>
      <c r="FJ53" s="52">
        <f t="shared" si="28"/>
        <v>20507.291500568343</v>
      </c>
      <c r="FK53" s="52">
        <f t="shared" si="29"/>
        <v>23038.9874868794</v>
      </c>
      <c r="FL53" s="37">
        <f>VLOOKUP($A53,[9]Totals!$A$3:$F$54,3)-SUM(EF53:EI53)</f>
        <v>22134443.139999997</v>
      </c>
      <c r="FM53" s="37">
        <f>VLOOKUP($A53,[9]Totals!$A$3:$F$54,4)-SUM(EJ53:EM53)</f>
        <v>22446959.659999996</v>
      </c>
      <c r="FN53" s="37">
        <f>VLOOKUP($A53,[9]Totals!$A$3:$F$54,5)-SUM(EN53:EQ53)</f>
        <v>23976149.339999989</v>
      </c>
      <c r="FO53" s="37">
        <f>VLOOKUP($A53,[9]Totals!$A$3:$F$54,6)-SUM(ER53:EU53)</f>
        <v>25767920.269999996</v>
      </c>
      <c r="FP53" s="52">
        <f t="shared" si="30"/>
        <v>17623.946509757709</v>
      </c>
      <c r="FQ53" s="52">
        <f t="shared" si="31"/>
        <v>17746.876806552602</v>
      </c>
      <c r="FR53" s="52">
        <f t="shared" si="32"/>
        <v>19192.281302531086</v>
      </c>
      <c r="FS53" s="52">
        <f t="shared" si="33"/>
        <v>21297.033935847525</v>
      </c>
      <c r="FT53" s="37">
        <f>VLOOKUP($A53,[10]Calculations!$AF$3:$AJ$54,2,FALSE)-EI53</f>
        <v>4266726.5900000008</v>
      </c>
      <c r="FU53" s="37">
        <f>VLOOKUP($A53,[10]Calculations!$AF$3:$AJ$54,3,FALSE)-EM53</f>
        <v>3710574.8499999996</v>
      </c>
      <c r="FV53" s="37">
        <f>VLOOKUP($A53,[10]Calculations!$AF$3:$AJ$54,4,FALSE)-EQ53</f>
        <v>4231363.1900000013</v>
      </c>
      <c r="FW53" s="37">
        <f>VLOOKUP($A53,[10]Calculations!$AF$3:$AJ$54,5,FALSE)-EU53</f>
        <v>4325393.4831111124</v>
      </c>
      <c r="FX53" s="52">
        <f t="shared" si="34"/>
        <v>34409.085403225814</v>
      </c>
      <c r="FY53" s="52">
        <f t="shared" si="35"/>
        <v>28988.866015624997</v>
      </c>
      <c r="FZ53" s="52">
        <f t="shared" si="36"/>
        <v>31343.431037037048</v>
      </c>
      <c r="GA53" s="52">
        <f t="shared" si="37"/>
        <v>31343.431037037048</v>
      </c>
    </row>
    <row r="54" spans="1:183" ht="15.75" x14ac:dyDescent="0.25">
      <c r="A54" s="62" t="s">
        <v>332</v>
      </c>
      <c r="B54" s="62" t="s">
        <v>333</v>
      </c>
      <c r="C54" s="66"/>
      <c r="D54" s="68"/>
      <c r="AD54" s="2"/>
      <c r="AE54" s="2"/>
      <c r="AF54" s="2"/>
      <c r="AG54" s="2"/>
      <c r="AH54" s="2"/>
      <c r="AI54" s="46"/>
      <c r="AJ54" s="2"/>
      <c r="AK54" s="2"/>
      <c r="AL54" s="2"/>
      <c r="AM54" s="22"/>
      <c r="AN54" s="22"/>
      <c r="AO54" s="22"/>
      <c r="AP54" s="22"/>
      <c r="AQ54" s="26"/>
      <c r="AR54" s="26"/>
      <c r="AS54" s="26"/>
      <c r="AT54" s="26"/>
      <c r="AU54" s="2"/>
      <c r="AX54" s="2"/>
      <c r="BB54" s="2"/>
      <c r="BF54" s="8"/>
      <c r="BJ54" s="8"/>
      <c r="BK54" s="32"/>
      <c r="BL54" s="32"/>
      <c r="BM54" s="32"/>
      <c r="BN54" s="32"/>
      <c r="BO54" s="56"/>
      <c r="BP54" s="56"/>
      <c r="BQ54" s="56"/>
      <c r="BR54" s="56"/>
      <c r="BS54" s="32"/>
      <c r="BT54" s="32"/>
      <c r="BU54" s="32"/>
      <c r="BV54" s="32"/>
      <c r="BW54" s="56"/>
      <c r="BX54" s="56"/>
      <c r="BY54" s="56"/>
      <c r="BZ54" s="56"/>
      <c r="CA54" s="37"/>
      <c r="CB54" s="37"/>
      <c r="CC54" s="37"/>
      <c r="CD54" s="37"/>
      <c r="CE54" s="52"/>
      <c r="CF54" s="52"/>
      <c r="CG54" s="52"/>
      <c r="CH54" s="52"/>
      <c r="CI54" s="37"/>
      <c r="CJ54" s="37"/>
      <c r="CK54" s="37"/>
      <c r="CL54" s="37"/>
      <c r="CM54" s="52"/>
      <c r="CN54" s="52"/>
      <c r="CO54" s="52"/>
      <c r="CP54" s="52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38"/>
      <c r="EG54" s="38"/>
      <c r="EH54" s="38"/>
      <c r="EI54" s="38"/>
      <c r="EJ54" s="49"/>
      <c r="EK54" s="49"/>
      <c r="EL54" s="49"/>
      <c r="EM54" s="49"/>
      <c r="EN54" s="38"/>
      <c r="EO54" s="38"/>
      <c r="EP54" s="38"/>
      <c r="EQ54" s="38"/>
      <c r="ER54" s="49"/>
      <c r="ES54" s="49"/>
      <c r="ET54" s="49"/>
      <c r="EU54" s="49"/>
      <c r="EV54" s="37"/>
      <c r="EW54" s="37"/>
      <c r="EX54" s="37"/>
      <c r="EY54" s="37"/>
      <c r="EZ54" s="52"/>
      <c r="FA54" s="52"/>
      <c r="FB54" s="52"/>
      <c r="FC54" s="52"/>
      <c r="FD54" s="37"/>
      <c r="FE54" s="37"/>
      <c r="FF54" s="37"/>
      <c r="FG54" s="37"/>
      <c r="FH54" s="52"/>
      <c r="FI54" s="52"/>
      <c r="FJ54" s="52"/>
      <c r="FK54" s="52"/>
      <c r="FL54" s="37"/>
      <c r="FM54" s="37"/>
      <c r="FN54" s="37"/>
      <c r="FO54" s="37"/>
      <c r="FP54" s="52"/>
      <c r="FQ54" s="52"/>
      <c r="FR54" s="52"/>
      <c r="FS54" s="52"/>
      <c r="FT54" s="37"/>
      <c r="FU54" s="37"/>
      <c r="FV54" s="37"/>
      <c r="FW54" s="37"/>
      <c r="FX54" s="52"/>
      <c r="FY54" s="52"/>
      <c r="FZ54" s="52"/>
      <c r="GA54" s="52"/>
    </row>
    <row r="55" spans="1:183" ht="15.75" x14ac:dyDescent="0.25">
      <c r="D55" s="68"/>
      <c r="BF55" s="19"/>
      <c r="BJ55" s="19"/>
      <c r="EV55" s="39"/>
      <c r="EW55" s="39"/>
      <c r="EX55" s="39"/>
      <c r="EY55" s="39"/>
      <c r="FD55" s="39"/>
      <c r="FE55" s="39"/>
      <c r="FF55" s="39"/>
      <c r="FG55" s="39"/>
    </row>
    <row r="56" spans="1:183" s="17" customFormat="1" ht="15.75" x14ac:dyDescent="0.25">
      <c r="A56" s="69" t="s">
        <v>334</v>
      </c>
      <c r="B56" s="69"/>
      <c r="C56" s="69"/>
      <c r="D56" s="70"/>
      <c r="E56" s="12">
        <f>SUM(E3:E53)</f>
        <v>287</v>
      </c>
      <c r="F56" s="59">
        <f t="shared" ref="F56:AC56" si="39">SUM(F3:F53)</f>
        <v>84436</v>
      </c>
      <c r="G56" s="59">
        <f t="shared" si="39"/>
        <v>80275</v>
      </c>
      <c r="H56" s="59">
        <f t="shared" si="39"/>
        <v>81944</v>
      </c>
      <c r="I56" s="59">
        <f t="shared" si="39"/>
        <v>80179</v>
      </c>
      <c r="J56" s="45">
        <f t="shared" si="39"/>
        <v>8794</v>
      </c>
      <c r="K56" s="45">
        <f t="shared" si="39"/>
        <v>6866</v>
      </c>
      <c r="L56" s="45">
        <f t="shared" si="39"/>
        <v>7541</v>
      </c>
      <c r="M56" s="45">
        <f t="shared" si="39"/>
        <v>7911</v>
      </c>
      <c r="N56" s="59">
        <f t="shared" si="39"/>
        <v>75562</v>
      </c>
      <c r="O56" s="59">
        <f t="shared" si="39"/>
        <v>73332</v>
      </c>
      <c r="P56" s="59">
        <f t="shared" si="39"/>
        <v>74341</v>
      </c>
      <c r="Q56" s="59">
        <f t="shared" si="39"/>
        <v>72211</v>
      </c>
      <c r="R56" s="45">
        <f t="shared" si="39"/>
        <v>86548.12</v>
      </c>
      <c r="S56" s="45">
        <f t="shared" si="39"/>
        <v>86670.250000000029</v>
      </c>
      <c r="T56" s="45">
        <f t="shared" si="39"/>
        <v>83886.7</v>
      </c>
      <c r="U56" s="45">
        <f t="shared" si="39"/>
        <v>83368.27</v>
      </c>
      <c r="V56" s="59">
        <f t="shared" si="39"/>
        <v>87066.039999999979</v>
      </c>
      <c r="W56" s="59">
        <f t="shared" si="39"/>
        <v>86903.319999999992</v>
      </c>
      <c r="X56" s="59">
        <f t="shared" si="39"/>
        <v>85564.289999999979</v>
      </c>
      <c r="Y56" s="59">
        <f t="shared" si="39"/>
        <v>83812.600000000006</v>
      </c>
      <c r="Z56" s="12">
        <f t="shared" si="39"/>
        <v>87426.079999999987</v>
      </c>
      <c r="AA56" s="12">
        <f t="shared" si="39"/>
        <v>86898.540000000008</v>
      </c>
      <c r="AB56" s="12">
        <f t="shared" si="39"/>
        <v>86974.689999999988</v>
      </c>
      <c r="AC56" s="12">
        <f t="shared" si="39"/>
        <v>85813.74000000002</v>
      </c>
      <c r="AD56" s="13">
        <v>0.36516958628401042</v>
      </c>
      <c r="AE56" s="13">
        <v>0.35706979958534901</v>
      </c>
      <c r="AF56" s="13">
        <v>0.35836778127941721</v>
      </c>
      <c r="AG56" s="13">
        <v>0.32085362833319575</v>
      </c>
      <c r="AH56" s="21">
        <f t="shared" ref="AH56" si="40">AVERAGE(AD56:AF56)</f>
        <v>0.36020238904959223</v>
      </c>
      <c r="AI56" s="60">
        <f>SUM(AI3:AI53)</f>
        <v>15477</v>
      </c>
      <c r="AJ56" s="60">
        <f t="shared" ref="AJ56:AL56" si="41">SUM(AJ3:AJ53)</f>
        <v>15068</v>
      </c>
      <c r="AK56" s="60">
        <f t="shared" si="41"/>
        <v>15313</v>
      </c>
      <c r="AL56" s="60">
        <f t="shared" si="41"/>
        <v>15471</v>
      </c>
      <c r="AM56" s="24">
        <f>AI56/R56</f>
        <v>0.17882537483194322</v>
      </c>
      <c r="AN56" s="24">
        <f t="shared" ref="AN56:AP56" si="42">AJ56/S56</f>
        <v>0.17385435025282603</v>
      </c>
      <c r="AO56" s="24">
        <f t="shared" si="42"/>
        <v>0.1825438359120099</v>
      </c>
      <c r="AP56" s="24">
        <f t="shared" si="42"/>
        <v>0.18557419987244547</v>
      </c>
      <c r="AQ56" s="28">
        <v>4.935839412171876E-2</v>
      </c>
      <c r="AR56" s="28">
        <v>5.0877677954388391E-2</v>
      </c>
      <c r="AS56" s="28">
        <v>5.0246251654183546E-2</v>
      </c>
      <c r="AT56" s="28">
        <v>5.2230386086573655E-2</v>
      </c>
      <c r="AU56" s="14">
        <v>0.51933041052212037</v>
      </c>
      <c r="AV56" s="14">
        <v>0.5390453702142014</v>
      </c>
      <c r="AW56" s="14">
        <v>0.56592082616179007</v>
      </c>
      <c r="AX56" s="15">
        <v>0.53442662779397476</v>
      </c>
      <c r="AY56" s="14">
        <v>0.46800159280960235</v>
      </c>
      <c r="AZ56" s="14">
        <v>0.40557084292693885</v>
      </c>
      <c r="BA56" s="14">
        <v>0.34906469881585722</v>
      </c>
      <c r="BB56" s="14">
        <v>0.42421080726955085</v>
      </c>
      <c r="BC56" s="13">
        <v>0.51788908765652952</v>
      </c>
      <c r="BD56" s="13">
        <v>0.56229587516632396</v>
      </c>
      <c r="BE56" s="13">
        <v>0.42884990253411304</v>
      </c>
      <c r="BF56" s="16"/>
      <c r="BG56" s="13">
        <v>0.36748170622880599</v>
      </c>
      <c r="BH56" s="13">
        <v>0.45078597339782345</v>
      </c>
      <c r="BI56" s="13">
        <v>0.33031111111111111</v>
      </c>
      <c r="BJ56" s="16"/>
      <c r="BK56" s="33">
        <v>9.845228788567713</v>
      </c>
      <c r="BL56" s="33">
        <v>1.1228450795712892</v>
      </c>
      <c r="BM56" s="33">
        <v>2.390282559272491</v>
      </c>
      <c r="BN56" s="33">
        <v>4.7092692432607981</v>
      </c>
      <c r="BO56" s="57">
        <v>9.9944057600508707</v>
      </c>
      <c r="BP56" s="57">
        <v>1.2107686468778716</v>
      </c>
      <c r="BQ56" s="57">
        <v>2.4156731005672958</v>
      </c>
      <c r="BR56" s="57">
        <v>5.2620474611481773</v>
      </c>
      <c r="BS56" s="33">
        <v>10.064594169589936</v>
      </c>
      <c r="BT56" s="33">
        <v>1.2272757818905153</v>
      </c>
      <c r="BU56" s="33">
        <v>2.5479617757348492</v>
      </c>
      <c r="BV56" s="33">
        <v>5.6829966533607514</v>
      </c>
      <c r="BW56" s="57">
        <v>10.264197155034042</v>
      </c>
      <c r="BX56" s="57">
        <v>1.3155061714728513</v>
      </c>
      <c r="BY56" s="57">
        <v>2.6466624232025238</v>
      </c>
      <c r="BZ56" s="57">
        <v>5.9417584546410565</v>
      </c>
      <c r="CA56" s="41">
        <v>61969.805079243713</v>
      </c>
      <c r="CB56" s="41">
        <v>84622.915103738036</v>
      </c>
      <c r="CC56" s="41">
        <v>56169.544646358314</v>
      </c>
      <c r="CD56" s="41">
        <v>42691.584049935176</v>
      </c>
      <c r="CE56" s="61">
        <v>62392.547908201035</v>
      </c>
      <c r="CF56" s="61">
        <v>82149.022124139694</v>
      </c>
      <c r="CG56" s="61">
        <v>54977.392585787195</v>
      </c>
      <c r="CH56" s="61">
        <v>42368.000587650837</v>
      </c>
      <c r="CI56" s="41">
        <v>64161.502907554735</v>
      </c>
      <c r="CJ56" s="41">
        <v>84358.845783236466</v>
      </c>
      <c r="CK56" s="41">
        <v>56219.781861901334</v>
      </c>
      <c r="CL56" s="41">
        <v>44203.747166814544</v>
      </c>
      <c r="CM56" s="61">
        <v>66535.884967679871</v>
      </c>
      <c r="CN56" s="61">
        <v>89754.646679753336</v>
      </c>
      <c r="CO56" s="61">
        <v>59304.447651898699</v>
      </c>
      <c r="CP56" s="61">
        <v>47362.840793499869</v>
      </c>
      <c r="CQ56" s="15">
        <v>0.83</v>
      </c>
      <c r="CR56" s="14">
        <v>0.88</v>
      </c>
      <c r="CS56" s="15">
        <v>0.83</v>
      </c>
      <c r="CT56" s="14">
        <v>0.87</v>
      </c>
      <c r="CU56" s="15">
        <v>0.83</v>
      </c>
      <c r="CV56" s="14">
        <v>0.86</v>
      </c>
      <c r="CW56" s="15">
        <v>0.82</v>
      </c>
      <c r="CX56" s="14">
        <v>0.86</v>
      </c>
      <c r="CY56" s="17" t="s">
        <v>223</v>
      </c>
      <c r="CZ56" s="17" t="s">
        <v>223</v>
      </c>
      <c r="DA56" s="17" t="s">
        <v>223</v>
      </c>
      <c r="DB56" s="17">
        <v>2</v>
      </c>
      <c r="DC56" s="17">
        <v>68</v>
      </c>
      <c r="DD56" s="17">
        <v>162</v>
      </c>
      <c r="DE56" s="17">
        <v>1</v>
      </c>
      <c r="DF56" s="17">
        <v>50</v>
      </c>
      <c r="DG56" s="17">
        <v>1</v>
      </c>
      <c r="DH56" s="17">
        <v>64</v>
      </c>
      <c r="DI56" s="17">
        <v>176</v>
      </c>
      <c r="DJ56" s="17">
        <v>1</v>
      </c>
      <c r="DK56" s="17">
        <v>41</v>
      </c>
      <c r="DL56" s="17">
        <v>27</v>
      </c>
      <c r="DM56" s="17">
        <v>59</v>
      </c>
      <c r="DN56" s="17">
        <v>64</v>
      </c>
      <c r="DO56" s="17">
        <v>53</v>
      </c>
      <c r="DP56" s="17">
        <v>1</v>
      </c>
      <c r="DQ56" s="14">
        <v>7.0671378091872791E-3</v>
      </c>
      <c r="DR56" s="14">
        <v>0.24028268551236748</v>
      </c>
      <c r="DS56" s="14">
        <v>0.57243816254416957</v>
      </c>
      <c r="DT56" s="14">
        <v>3.5335689045936395E-3</v>
      </c>
      <c r="DU56" s="14">
        <v>0.17667844522968199</v>
      </c>
      <c r="DV56" s="14">
        <v>3.5335689045936395E-3</v>
      </c>
      <c r="DW56" s="14">
        <v>0.22614840989399293</v>
      </c>
      <c r="DX56" s="14">
        <v>0.62190812720848054</v>
      </c>
      <c r="DY56" s="14">
        <v>3.5335689045936395E-3</v>
      </c>
      <c r="DZ56" s="14">
        <v>0.14487632508833923</v>
      </c>
      <c r="EA56" s="14">
        <v>9.5406360424028266E-2</v>
      </c>
      <c r="EB56" s="14">
        <v>0.20848056537102475</v>
      </c>
      <c r="EC56" s="14">
        <v>0.22614840989399293</v>
      </c>
      <c r="ED56" s="14">
        <v>0.1872791519434629</v>
      </c>
      <c r="EE56" s="14">
        <v>0.21201413427561838</v>
      </c>
      <c r="EF56" s="40"/>
      <c r="EG56" s="40"/>
      <c r="EH56" s="40"/>
      <c r="EI56" s="40"/>
      <c r="EJ56" s="50"/>
      <c r="EK56" s="50"/>
      <c r="EL56" s="50"/>
      <c r="EM56" s="50"/>
      <c r="EN56" s="40"/>
      <c r="EO56" s="40"/>
      <c r="EP56" s="40"/>
      <c r="EQ56" s="40"/>
      <c r="ER56" s="50"/>
      <c r="ES56" s="50"/>
      <c r="ET56" s="50"/>
      <c r="EU56" s="50"/>
      <c r="EV56" s="41"/>
      <c r="EW56" s="41"/>
      <c r="EX56" s="41"/>
      <c r="EY56" s="41"/>
      <c r="EZ56" s="53"/>
      <c r="FA56" s="53"/>
      <c r="FB56" s="53"/>
      <c r="FC56" s="53"/>
      <c r="FD56" s="41"/>
      <c r="FE56" s="41"/>
      <c r="FF56" s="41"/>
      <c r="FG56" s="41"/>
      <c r="FH56" s="53"/>
      <c r="FI56" s="53"/>
      <c r="FJ56" s="53"/>
      <c r="FK56" s="53"/>
      <c r="FL56" s="42"/>
      <c r="FM56" s="42"/>
      <c r="FN56" s="42"/>
      <c r="FO56" s="42"/>
      <c r="FP56" s="53"/>
      <c r="FQ56" s="53"/>
      <c r="FR56" s="53"/>
      <c r="FS56" s="53"/>
      <c r="FT56" s="42"/>
      <c r="FU56" s="42"/>
      <c r="FV56" s="42"/>
      <c r="FW56" s="42"/>
      <c r="FX56" s="53"/>
      <c r="FY56" s="53"/>
      <c r="FZ56" s="53"/>
      <c r="GA56" s="53"/>
    </row>
    <row r="57" spans="1:183" ht="15.75" x14ac:dyDescent="0.25">
      <c r="D57" s="68"/>
      <c r="BF57" s="8"/>
      <c r="BJ57" s="8"/>
      <c r="EV57" s="39"/>
      <c r="EW57" s="39"/>
      <c r="EX57" s="39"/>
      <c r="EY57" s="39"/>
      <c r="FD57" s="39"/>
      <c r="FE57" s="39"/>
      <c r="FF57" s="39"/>
      <c r="FG57" s="39"/>
    </row>
    <row r="58" spans="1:183" ht="15.75" x14ac:dyDescent="0.25">
      <c r="D58" s="68"/>
      <c r="BF58" s="8"/>
      <c r="BJ58" s="8"/>
      <c r="EV58" s="39"/>
      <c r="EW58" s="39"/>
      <c r="EX58" s="39"/>
      <c r="EY58" s="39"/>
      <c r="FD58" s="39"/>
      <c r="FE58" s="39"/>
      <c r="FF58" s="39"/>
      <c r="FG58" s="39"/>
    </row>
    <row r="59" spans="1:183" ht="15.75" x14ac:dyDescent="0.25">
      <c r="BF59" s="8"/>
      <c r="BJ59" s="8"/>
      <c r="EV59" s="43"/>
      <c r="EW59" s="43"/>
      <c r="EX59" s="43"/>
      <c r="EY59" s="43"/>
      <c r="FD59" s="43"/>
      <c r="FE59" s="43"/>
      <c r="FF59" s="43"/>
      <c r="FG59" s="43"/>
    </row>
    <row r="60" spans="1:183" ht="15" customHeight="1" x14ac:dyDescent="0.25">
      <c r="BF60" s="8"/>
      <c r="BJ60" s="8"/>
      <c r="EV60" s="43"/>
      <c r="EW60" s="43"/>
      <c r="EX60" s="43"/>
      <c r="EY60" s="43"/>
      <c r="FD60" s="43"/>
      <c r="FE60" s="43"/>
      <c r="FF60" s="43"/>
      <c r="FG60" s="43"/>
    </row>
    <row r="61" spans="1:183" ht="15" customHeight="1" x14ac:dyDescent="0.25">
      <c r="BF61" s="8"/>
      <c r="BJ61" s="8"/>
      <c r="EV61" s="43"/>
      <c r="EW61" s="43"/>
      <c r="EX61" s="43"/>
      <c r="EY61" s="43"/>
      <c r="FD61" s="43"/>
      <c r="FE61" s="43"/>
      <c r="FF61" s="43"/>
      <c r="FG61" s="43"/>
    </row>
    <row r="62" spans="1:183" ht="15" customHeight="1" x14ac:dyDescent="0.25">
      <c r="BF62" s="8"/>
      <c r="BJ62" s="8"/>
      <c r="EV62" s="43"/>
      <c r="EW62" s="43"/>
      <c r="EX62" s="43"/>
      <c r="EY62" s="43"/>
      <c r="FD62" s="43"/>
      <c r="FE62" s="43"/>
      <c r="FF62" s="43"/>
      <c r="FG62" s="43"/>
    </row>
    <row r="63" spans="1:183" ht="15" customHeight="1" x14ac:dyDescent="0.25">
      <c r="BF63" s="8"/>
      <c r="BJ63" s="8"/>
      <c r="EV63" s="43"/>
      <c r="EW63" s="43"/>
      <c r="EX63" s="43"/>
      <c r="EY63" s="43"/>
      <c r="FD63" s="43"/>
      <c r="FE63" s="43"/>
      <c r="FF63" s="43"/>
      <c r="FG63" s="43"/>
    </row>
    <row r="64" spans="1:183" ht="15" customHeight="1" x14ac:dyDescent="0.25">
      <c r="BF64" s="8"/>
      <c r="BJ64" s="8"/>
      <c r="EV64" s="39"/>
      <c r="EW64" s="39"/>
      <c r="EX64" s="39"/>
      <c r="EY64" s="39"/>
      <c r="FD64" s="39"/>
      <c r="FE64" s="39"/>
      <c r="FF64" s="39"/>
      <c r="FG64" s="39"/>
    </row>
    <row r="65" spans="5:163" ht="15" customHeight="1" x14ac:dyDescent="0.25">
      <c r="E65" s="10"/>
      <c r="F65" s="29"/>
      <c r="G65" s="29"/>
      <c r="H65" s="29"/>
      <c r="I65" s="29"/>
      <c r="J65" s="25"/>
      <c r="K65" s="25"/>
      <c r="L65" s="25"/>
      <c r="M65" s="25"/>
      <c r="N65" s="29"/>
      <c r="O65" s="29"/>
      <c r="P65" s="29"/>
      <c r="Q65" s="29"/>
      <c r="R65" s="25"/>
      <c r="S65" s="25"/>
      <c r="T65" s="25"/>
      <c r="U65" s="25"/>
      <c r="V65" s="29"/>
      <c r="W65" s="29"/>
      <c r="X65" s="29"/>
      <c r="Y65" s="29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25"/>
      <c r="AN65" s="25"/>
      <c r="AO65" s="25"/>
      <c r="AP65" s="25"/>
      <c r="AQ65" s="29"/>
      <c r="AR65" s="29"/>
      <c r="AS65" s="29"/>
      <c r="AT65" s="29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25"/>
      <c r="BL65" s="25"/>
      <c r="BM65" s="25"/>
      <c r="BN65" s="25"/>
      <c r="BO65" s="29"/>
      <c r="BP65" s="29"/>
      <c r="BQ65" s="29"/>
      <c r="BR65" s="29"/>
      <c r="BS65" s="25"/>
      <c r="BT65" s="25"/>
      <c r="BU65" s="25"/>
      <c r="BV65" s="25"/>
      <c r="BW65" s="29"/>
      <c r="BX65" s="29"/>
      <c r="BY65" s="29"/>
      <c r="BZ65" s="29"/>
      <c r="CA65" s="25"/>
      <c r="CB65" s="25"/>
      <c r="CC65" s="25"/>
      <c r="CD65" s="25"/>
      <c r="CE65" s="29"/>
      <c r="CF65" s="29"/>
      <c r="CG65" s="29"/>
      <c r="CH65" s="29"/>
      <c r="CI65" s="25"/>
      <c r="CJ65" s="25"/>
      <c r="CK65" s="25"/>
      <c r="CL65" s="25"/>
      <c r="CM65" s="29"/>
      <c r="CN65" s="29"/>
      <c r="CO65" s="29"/>
      <c r="CP65" s="29"/>
      <c r="CR65" s="10"/>
      <c r="CS65" s="10"/>
      <c r="CT65" s="10"/>
      <c r="CU65" s="10"/>
      <c r="CV65" s="10"/>
      <c r="CW65" s="10"/>
      <c r="CX65" s="10"/>
      <c r="EV65" s="25"/>
      <c r="EW65" s="25"/>
      <c r="EX65" s="25"/>
      <c r="EY65" s="25"/>
      <c r="FD65" s="25"/>
      <c r="FE65" s="25"/>
      <c r="FF65" s="25"/>
      <c r="FG65" s="25"/>
    </row>
    <row r="66" spans="5:163" ht="15" customHeight="1" x14ac:dyDescent="0.25">
      <c r="E66" s="10"/>
      <c r="F66" s="29"/>
      <c r="G66" s="29"/>
      <c r="H66" s="29"/>
      <c r="I66" s="29"/>
      <c r="J66" s="25"/>
      <c r="K66" s="25"/>
      <c r="L66" s="25"/>
      <c r="M66" s="25"/>
      <c r="N66" s="29"/>
      <c r="O66" s="29"/>
      <c r="P66" s="29"/>
      <c r="Q66" s="29"/>
      <c r="R66" s="25"/>
      <c r="S66" s="25"/>
      <c r="T66" s="25"/>
      <c r="U66" s="25"/>
      <c r="V66" s="29"/>
      <c r="W66" s="29"/>
      <c r="X66" s="29"/>
      <c r="Y66" s="29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25"/>
      <c r="AN66" s="25"/>
      <c r="AO66" s="25"/>
      <c r="AP66" s="25"/>
      <c r="AQ66" s="29"/>
      <c r="AR66" s="29"/>
      <c r="AS66" s="29"/>
      <c r="AT66" s="29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25"/>
      <c r="BL66" s="25"/>
      <c r="BM66" s="25"/>
      <c r="BN66" s="25"/>
      <c r="BO66" s="29"/>
      <c r="BP66" s="29"/>
      <c r="BQ66" s="29"/>
      <c r="BR66" s="29"/>
      <c r="BS66" s="25"/>
      <c r="BT66" s="25"/>
      <c r="BU66" s="25"/>
      <c r="BV66" s="25"/>
      <c r="BW66" s="29"/>
      <c r="BX66" s="29"/>
      <c r="BY66" s="29"/>
      <c r="BZ66" s="29"/>
      <c r="CA66" s="25"/>
      <c r="CB66" s="25"/>
      <c r="CC66" s="25"/>
      <c r="CD66" s="25"/>
      <c r="CE66" s="29"/>
      <c r="CF66" s="29"/>
      <c r="CG66" s="29"/>
      <c r="CH66" s="29"/>
      <c r="CI66" s="25"/>
      <c r="CJ66" s="25"/>
      <c r="CK66" s="25"/>
      <c r="CL66" s="25"/>
      <c r="CM66" s="29"/>
      <c r="CN66" s="29"/>
      <c r="CO66" s="29"/>
      <c r="CP66" s="29"/>
      <c r="CR66" s="10"/>
      <c r="CS66" s="10"/>
      <c r="CT66" s="10"/>
      <c r="CU66" s="10"/>
      <c r="CV66" s="10"/>
      <c r="CW66" s="10"/>
      <c r="CX66" s="10"/>
      <c r="EV66" s="25"/>
      <c r="EW66" s="25"/>
      <c r="EX66" s="25"/>
      <c r="EY66" s="25"/>
      <c r="FD66" s="25"/>
      <c r="FE66" s="25"/>
      <c r="FF66" s="25"/>
      <c r="FG66" s="25"/>
    </row>
    <row r="67" spans="5:163" ht="15" customHeight="1" x14ac:dyDescent="0.25">
      <c r="E67" s="10"/>
      <c r="F67" s="29"/>
      <c r="G67" s="29"/>
      <c r="H67" s="29"/>
      <c r="I67" s="29"/>
      <c r="J67" s="25"/>
      <c r="K67" s="25"/>
      <c r="L67" s="25"/>
      <c r="M67" s="25"/>
      <c r="N67" s="29"/>
      <c r="O67" s="29"/>
      <c r="P67" s="29"/>
      <c r="Q67" s="29"/>
      <c r="R67" s="25"/>
      <c r="S67" s="25"/>
      <c r="T67" s="25"/>
      <c r="U67" s="25"/>
      <c r="V67" s="29"/>
      <c r="W67" s="29"/>
      <c r="X67" s="29"/>
      <c r="Y67" s="29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25"/>
      <c r="AN67" s="25"/>
      <c r="AO67" s="25"/>
      <c r="AP67" s="25"/>
      <c r="AQ67" s="29"/>
      <c r="AR67" s="29"/>
      <c r="AS67" s="29"/>
      <c r="AT67" s="29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25"/>
      <c r="BL67" s="25"/>
      <c r="BM67" s="25"/>
      <c r="BN67" s="25"/>
      <c r="BO67" s="29"/>
      <c r="BP67" s="29"/>
      <c r="BQ67" s="29"/>
      <c r="BR67" s="29"/>
      <c r="BS67" s="25"/>
      <c r="BT67" s="25"/>
      <c r="BU67" s="25"/>
      <c r="BV67" s="25"/>
      <c r="BW67" s="29"/>
      <c r="BX67" s="29"/>
      <c r="BY67" s="29"/>
      <c r="BZ67" s="29"/>
      <c r="CA67" s="25"/>
      <c r="CB67" s="25"/>
      <c r="CC67" s="25"/>
      <c r="CD67" s="25"/>
      <c r="CE67" s="29"/>
      <c r="CF67" s="29"/>
      <c r="CG67" s="29"/>
      <c r="CH67" s="29"/>
      <c r="CI67" s="25"/>
      <c r="CJ67" s="25"/>
      <c r="CK67" s="25"/>
      <c r="CL67" s="25"/>
      <c r="CM67" s="29"/>
      <c r="CN67" s="29"/>
      <c r="CO67" s="29"/>
      <c r="CP67" s="29"/>
      <c r="CR67" s="10"/>
      <c r="CS67" s="10"/>
      <c r="CT67" s="10"/>
      <c r="CU67" s="10"/>
      <c r="CV67" s="10"/>
      <c r="CW67" s="10"/>
      <c r="CX67" s="10"/>
      <c r="EV67" s="25"/>
      <c r="EW67" s="25"/>
      <c r="EX67" s="25"/>
      <c r="EY67" s="25"/>
      <c r="FD67" s="25"/>
      <c r="FE67" s="25"/>
      <c r="FF67" s="25"/>
      <c r="FG67" s="25"/>
    </row>
    <row r="68" spans="5:163" ht="15" customHeight="1" x14ac:dyDescent="0.25">
      <c r="E68" s="10"/>
      <c r="F68" s="29"/>
      <c r="G68" s="29"/>
      <c r="H68" s="29"/>
      <c r="I68" s="29"/>
      <c r="J68" s="25"/>
      <c r="K68" s="25"/>
      <c r="L68" s="25"/>
      <c r="M68" s="25"/>
      <c r="N68" s="29"/>
      <c r="O68" s="29"/>
      <c r="P68" s="29"/>
      <c r="Q68" s="29"/>
      <c r="R68" s="25"/>
      <c r="S68" s="25"/>
      <c r="T68" s="25"/>
      <c r="U68" s="25"/>
      <c r="V68" s="29"/>
      <c r="W68" s="29"/>
      <c r="X68" s="29"/>
      <c r="Y68" s="29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25"/>
      <c r="AN68" s="25"/>
      <c r="AO68" s="25"/>
      <c r="AP68" s="25"/>
      <c r="AQ68" s="29"/>
      <c r="AR68" s="29"/>
      <c r="AS68" s="29"/>
      <c r="AT68" s="29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25"/>
      <c r="BL68" s="25"/>
      <c r="BM68" s="25"/>
      <c r="BN68" s="25"/>
      <c r="BO68" s="29"/>
      <c r="BP68" s="29"/>
      <c r="BQ68" s="29"/>
      <c r="BR68" s="29"/>
      <c r="BS68" s="25"/>
      <c r="BT68" s="25"/>
      <c r="BU68" s="25"/>
      <c r="BV68" s="25"/>
      <c r="BW68" s="29"/>
      <c r="BX68" s="29"/>
      <c r="BY68" s="29"/>
      <c r="BZ68" s="29"/>
      <c r="CA68" s="25"/>
      <c r="CB68" s="25"/>
      <c r="CC68" s="25"/>
      <c r="CD68" s="25"/>
      <c r="CE68" s="29"/>
      <c r="CF68" s="29"/>
      <c r="CG68" s="29"/>
      <c r="CH68" s="29"/>
      <c r="CI68" s="25"/>
      <c r="CJ68" s="25"/>
      <c r="CK68" s="25"/>
      <c r="CL68" s="25"/>
      <c r="CM68" s="29"/>
      <c r="CN68" s="29"/>
      <c r="CO68" s="29"/>
      <c r="CP68" s="29"/>
      <c r="CR68" s="10"/>
      <c r="CS68" s="10"/>
      <c r="CT68" s="10"/>
      <c r="CU68" s="10"/>
      <c r="CV68" s="10"/>
      <c r="CW68" s="10"/>
      <c r="CX68" s="10"/>
      <c r="EV68" s="25"/>
      <c r="EW68" s="25"/>
      <c r="EX68" s="25"/>
      <c r="EY68" s="25"/>
      <c r="FD68" s="25"/>
      <c r="FE68" s="25"/>
      <c r="FF68" s="25"/>
      <c r="FG68" s="25"/>
    </row>
    <row r="69" spans="5:163" ht="15" customHeight="1" x14ac:dyDescent="0.25">
      <c r="BF69" s="8"/>
      <c r="BJ69" s="8"/>
      <c r="EV69" s="39"/>
      <c r="EW69" s="39"/>
      <c r="EX69" s="39"/>
      <c r="EY69" s="39"/>
      <c r="FD69" s="39"/>
      <c r="FE69" s="39"/>
      <c r="FF69" s="39"/>
      <c r="FG69" s="39"/>
    </row>
    <row r="70" spans="5:163" ht="15" customHeight="1" x14ac:dyDescent="0.25">
      <c r="I70" s="29"/>
      <c r="BF70" s="8"/>
      <c r="BJ70" s="8"/>
      <c r="EV70" s="39"/>
      <c r="EW70" s="39"/>
      <c r="EX70" s="39"/>
      <c r="EY70" s="39"/>
      <c r="FD70" s="39"/>
      <c r="FE70" s="39"/>
      <c r="FF70" s="39"/>
      <c r="FG70" s="39"/>
    </row>
    <row r="71" spans="5:163" ht="15" customHeight="1" x14ac:dyDescent="0.25">
      <c r="BF71" s="8"/>
      <c r="BJ71" s="8"/>
      <c r="EV71" s="39"/>
      <c r="EW71" s="39"/>
      <c r="EX71" s="39"/>
      <c r="EY71" s="39"/>
      <c r="FD71" s="39"/>
      <c r="FE71" s="39"/>
      <c r="FF71" s="39"/>
      <c r="FG71" s="39"/>
    </row>
    <row r="72" spans="5:163" ht="15" customHeight="1" x14ac:dyDescent="0.25">
      <c r="BF72" s="8"/>
      <c r="BJ72" s="8"/>
      <c r="EV72" s="39"/>
      <c r="EW72" s="39"/>
      <c r="EX72" s="39"/>
      <c r="EY72" s="39"/>
      <c r="FD72" s="39"/>
      <c r="FE72" s="39"/>
      <c r="FF72" s="39"/>
      <c r="FG72" s="39"/>
    </row>
    <row r="73" spans="5:163" ht="15" customHeight="1" x14ac:dyDescent="0.25">
      <c r="BF73" s="8"/>
      <c r="BJ73" s="8"/>
      <c r="EV73" s="39"/>
      <c r="EW73" s="39"/>
      <c r="EX73" s="39"/>
      <c r="EY73" s="39"/>
      <c r="FD73" s="39"/>
      <c r="FE73" s="39"/>
      <c r="FF73" s="39"/>
      <c r="FG73" s="39"/>
    </row>
    <row r="74" spans="5:163" ht="15" customHeight="1" x14ac:dyDescent="0.25">
      <c r="BF74" s="8"/>
      <c r="BJ74" s="8"/>
      <c r="EV74" s="39"/>
      <c r="EW74" s="39"/>
      <c r="EX74" s="39"/>
      <c r="EY74" s="39"/>
      <c r="FD74" s="39"/>
      <c r="FE74" s="39"/>
      <c r="FF74" s="39"/>
      <c r="FG74" s="39"/>
    </row>
    <row r="75" spans="5:163" ht="15" customHeight="1" x14ac:dyDescent="0.25">
      <c r="BF75" s="8"/>
      <c r="BJ75" s="8"/>
      <c r="EV75" s="39"/>
      <c r="EW75" s="39"/>
      <c r="EX75" s="39"/>
      <c r="EY75" s="39"/>
      <c r="FD75" s="39"/>
      <c r="FE75" s="39"/>
      <c r="FF75" s="39"/>
      <c r="FG75" s="39"/>
    </row>
    <row r="76" spans="5:163" ht="15" customHeight="1" x14ac:dyDescent="0.25">
      <c r="BF76" s="8"/>
      <c r="EV76" s="39"/>
      <c r="EW76" s="39"/>
      <c r="EX76" s="39"/>
      <c r="EY76" s="39"/>
      <c r="FD76" s="39"/>
      <c r="FE76" s="39"/>
      <c r="FF76" s="39"/>
      <c r="FG76" s="39"/>
    </row>
  </sheetData>
  <sheetProtection algorithmName="SHA-512" hashValue="lsaiVVlgBs2Ds96CZwOfb4CWlnffEZN4ow79EFDe5TIPDoOEcvS0fBk5LudBVGNXYf+MM+pZoyl0/xQKDoFaig==" saltValue="+GObOOQlgJY8slaKUGcDzw==" spinCount="100000" sheet="1" formatCells="0" formatColumns="0" formatRows="0" insertColumns="0" insertRows="0" insertHyperlinks="0" deleteColumns="0" deleteRows="0" sort="0" autoFilter="0" pivotTables="0"/>
  <autoFilter ref="A2:CX54" xr:uid="{664723E2-8E08-4D19-B14F-81A1673D6FAC}">
    <sortState xmlns:xlrd2="http://schemas.microsoft.com/office/spreadsheetml/2017/richdata2" ref="A3:CX54">
      <sortCondition ref="A2:A54"/>
    </sortState>
  </autoFilter>
  <mergeCells count="36">
    <mergeCell ref="AQ1:AT1"/>
    <mergeCell ref="BK1:BN1"/>
    <mergeCell ref="BO1:BR1"/>
    <mergeCell ref="BC1:BJ1"/>
    <mergeCell ref="F1:I1"/>
    <mergeCell ref="J1:M1"/>
    <mergeCell ref="N1:Q1"/>
    <mergeCell ref="AM1:AP1"/>
    <mergeCell ref="V1:Y1"/>
    <mergeCell ref="Z1:AC1"/>
    <mergeCell ref="R1:U1"/>
    <mergeCell ref="AI1:AL1"/>
    <mergeCell ref="AD1:AH1"/>
    <mergeCell ref="CY1:DA1"/>
    <mergeCell ref="DB1:DP1"/>
    <mergeCell ref="DQ1:EE1"/>
    <mergeCell ref="AU1:BA1"/>
    <mergeCell ref="CQ1:CX1"/>
    <mergeCell ref="CA1:CD1"/>
    <mergeCell ref="CE1:CH1"/>
    <mergeCell ref="CI1:CL1"/>
    <mergeCell ref="CM1:CP1"/>
    <mergeCell ref="BS1:BV1"/>
    <mergeCell ref="BW1:BZ1"/>
    <mergeCell ref="FT1:FW1"/>
    <mergeCell ref="FX1:GA1"/>
    <mergeCell ref="EV1:EY1"/>
    <mergeCell ref="EF1:EI1"/>
    <mergeCell ref="ER1:EU1"/>
    <mergeCell ref="EJ1:EM1"/>
    <mergeCell ref="EN1:EQ1"/>
    <mergeCell ref="FL1:FO1"/>
    <mergeCell ref="FH1:FK1"/>
    <mergeCell ref="FP1:FS1"/>
    <mergeCell ref="FD1:FG1"/>
    <mergeCell ref="EZ1:FC1"/>
  </mergeCells>
  <phoneticPr fontId="7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4CBB-5D64-8849-A4DB-5D348B123FCA}">
  <dimension ref="A1:L56"/>
  <sheetViews>
    <sheetView workbookViewId="0">
      <selection activeCell="H1" sqref="H1"/>
    </sheetView>
  </sheetViews>
  <sheetFormatPr defaultColWidth="10.85546875" defaultRowHeight="15" x14ac:dyDescent="0.25"/>
  <sheetData>
    <row r="1" spans="1:12" x14ac:dyDescent="0.25">
      <c r="A1" t="s">
        <v>335</v>
      </c>
      <c r="B1" t="s">
        <v>336</v>
      </c>
      <c r="C1" t="s">
        <v>337</v>
      </c>
      <c r="D1" t="s">
        <v>338</v>
      </c>
      <c r="E1" t="s">
        <v>339</v>
      </c>
      <c r="F1" t="s">
        <v>340</v>
      </c>
      <c r="G1" t="s">
        <v>341</v>
      </c>
      <c r="H1" t="s">
        <v>342</v>
      </c>
      <c r="I1" t="s">
        <v>343</v>
      </c>
      <c r="J1" t="s">
        <v>344</v>
      </c>
      <c r="K1" t="s">
        <v>345</v>
      </c>
      <c r="L1" t="s">
        <v>346</v>
      </c>
    </row>
    <row r="2" spans="1:12" x14ac:dyDescent="0.25">
      <c r="A2" s="1">
        <v>1</v>
      </c>
      <c r="B2" s="1" t="str">
        <f>"SU"&amp;"00"&amp;A2</f>
        <v>SU001</v>
      </c>
      <c r="C2">
        <v>1483.49</v>
      </c>
      <c r="D2">
        <v>1483.6</v>
      </c>
      <c r="E2">
        <v>1438.1599999999999</v>
      </c>
      <c r="F2">
        <v>1248.26</v>
      </c>
      <c r="G2">
        <v>1185.7</v>
      </c>
      <c r="H2">
        <v>1489.4199999999998</v>
      </c>
      <c r="I2">
        <v>1491.09</v>
      </c>
      <c r="J2">
        <v>1469.53</v>
      </c>
      <c r="K2">
        <v>1254.75</v>
      </c>
      <c r="L2">
        <v>1220.4000000000001</v>
      </c>
    </row>
    <row r="3" spans="1:12" x14ac:dyDescent="0.25">
      <c r="A3" s="1">
        <v>2</v>
      </c>
      <c r="B3" s="1" t="str">
        <f t="shared" ref="B3:B9" si="0">"SU"&amp;"00"&amp;A3</f>
        <v>SU002</v>
      </c>
      <c r="C3">
        <v>939.79000000000008</v>
      </c>
      <c r="D3">
        <v>939.78000000000009</v>
      </c>
      <c r="E3">
        <v>906.17</v>
      </c>
      <c r="F3">
        <v>941.55</v>
      </c>
      <c r="G3">
        <v>910.17000000000007</v>
      </c>
      <c r="H3">
        <v>952.33000000000015</v>
      </c>
      <c r="I3">
        <v>944.07</v>
      </c>
      <c r="J3">
        <v>927.88</v>
      </c>
      <c r="K3">
        <v>926.12</v>
      </c>
      <c r="L3">
        <v>930.88</v>
      </c>
    </row>
    <row r="4" spans="1:12" x14ac:dyDescent="0.25">
      <c r="A4" s="1">
        <v>3</v>
      </c>
      <c r="B4" s="1" t="str">
        <f t="shared" si="0"/>
        <v>SU003</v>
      </c>
      <c r="C4">
        <v>1760.05</v>
      </c>
      <c r="D4">
        <v>1761.1499999999999</v>
      </c>
      <c r="E4">
        <v>1709.55</v>
      </c>
      <c r="F4">
        <v>1717.57</v>
      </c>
      <c r="G4">
        <v>1690.41</v>
      </c>
      <c r="H4">
        <v>1769.1299999999999</v>
      </c>
      <c r="I4">
        <v>1769.2999999999997</v>
      </c>
      <c r="J4">
        <v>1745.12</v>
      </c>
      <c r="K4">
        <v>1716.6399999999996</v>
      </c>
      <c r="L4">
        <v>1706.1100000000001</v>
      </c>
    </row>
    <row r="5" spans="1:12" x14ac:dyDescent="0.25">
      <c r="A5" s="1">
        <v>4</v>
      </c>
      <c r="B5" s="1" t="str">
        <f t="shared" si="0"/>
        <v>SU004</v>
      </c>
      <c r="C5">
        <v>1259.0000000000002</v>
      </c>
      <c r="D5">
        <v>1257.1500000000001</v>
      </c>
      <c r="E5">
        <v>1255.1299999999999</v>
      </c>
      <c r="F5">
        <v>1283.8499999999999</v>
      </c>
      <c r="G5">
        <v>1210.8499999999999</v>
      </c>
      <c r="H5">
        <v>1282.4699999999998</v>
      </c>
      <c r="I5">
        <v>1263.5</v>
      </c>
      <c r="J5">
        <v>1263.4599999999998</v>
      </c>
      <c r="K5">
        <v>1276.3400000000001</v>
      </c>
      <c r="L5">
        <v>1255.26</v>
      </c>
    </row>
    <row r="6" spans="1:12" x14ac:dyDescent="0.25">
      <c r="A6" s="1">
        <v>5</v>
      </c>
      <c r="B6" s="1" t="str">
        <f t="shared" si="0"/>
        <v>SU005</v>
      </c>
      <c r="C6">
        <v>3508.78</v>
      </c>
      <c r="D6">
        <v>3511.94</v>
      </c>
      <c r="E6">
        <v>3381.6099999999956</v>
      </c>
      <c r="F6">
        <v>3396.7200000000003</v>
      </c>
      <c r="G6">
        <v>3243.41</v>
      </c>
      <c r="H6">
        <v>3540.7</v>
      </c>
      <c r="I6">
        <v>3520.4199999999996</v>
      </c>
      <c r="J6">
        <v>3458.71</v>
      </c>
      <c r="K6">
        <v>3398.5699999999997</v>
      </c>
      <c r="L6">
        <v>3339.7100000000005</v>
      </c>
    </row>
    <row r="7" spans="1:12" x14ac:dyDescent="0.25">
      <c r="A7" s="1">
        <v>6</v>
      </c>
      <c r="B7" s="1" t="str">
        <f t="shared" si="0"/>
        <v>SU006</v>
      </c>
      <c r="C7">
        <v>2217.3199999999997</v>
      </c>
      <c r="D7">
        <v>2263.91</v>
      </c>
      <c r="E7">
        <v>2174.1799999999994</v>
      </c>
      <c r="F7">
        <v>2128.34</v>
      </c>
      <c r="G7">
        <v>2117.4500000000003</v>
      </c>
      <c r="H7">
        <v>2236.81</v>
      </c>
      <c r="I7">
        <v>2244.5499999999997</v>
      </c>
      <c r="J7">
        <v>2225.96</v>
      </c>
      <c r="K7">
        <v>2157.3599999999997</v>
      </c>
      <c r="L7">
        <v>2127.7800000000002</v>
      </c>
    </row>
    <row r="8" spans="1:12" x14ac:dyDescent="0.25">
      <c r="A8" s="1">
        <v>7</v>
      </c>
      <c r="B8" s="1" t="str">
        <f t="shared" si="0"/>
        <v>SU007</v>
      </c>
      <c r="C8">
        <v>2334.11</v>
      </c>
      <c r="D8">
        <v>2334.19</v>
      </c>
      <c r="E8">
        <v>2305.5599999999981</v>
      </c>
      <c r="F8">
        <v>2318.4499999999994</v>
      </c>
      <c r="G8">
        <v>2317.2599999999998</v>
      </c>
      <c r="H8">
        <v>2328.4499999999998</v>
      </c>
      <c r="I8">
        <v>2339.2399999999998</v>
      </c>
      <c r="J8">
        <v>2321.86</v>
      </c>
      <c r="K8">
        <v>2315.4299999999998</v>
      </c>
      <c r="L8">
        <v>2321.4899999999998</v>
      </c>
    </row>
    <row r="9" spans="1:12" x14ac:dyDescent="0.25">
      <c r="A9" s="1">
        <v>9</v>
      </c>
      <c r="B9" s="1" t="str">
        <f t="shared" si="0"/>
        <v>SU009</v>
      </c>
      <c r="C9">
        <v>1495.08</v>
      </c>
      <c r="D9">
        <v>1509.0099999999998</v>
      </c>
      <c r="E9">
        <v>1481.69</v>
      </c>
      <c r="F9">
        <v>1460.7399999999998</v>
      </c>
      <c r="G9">
        <v>1450.6999999999998</v>
      </c>
      <c r="H9">
        <v>1539.29</v>
      </c>
      <c r="I9">
        <v>1509.8200000000002</v>
      </c>
      <c r="J9">
        <v>1500.39</v>
      </c>
      <c r="K9">
        <v>1474.48</v>
      </c>
      <c r="L9">
        <v>1461</v>
      </c>
    </row>
    <row r="10" spans="1:12" x14ac:dyDescent="0.25">
      <c r="A10" s="1">
        <v>10</v>
      </c>
      <c r="B10" s="1" t="str">
        <f>"SU"&amp;"0"&amp;A10</f>
        <v>SU010</v>
      </c>
      <c r="C10">
        <v>1582.63</v>
      </c>
      <c r="D10">
        <v>1582.2</v>
      </c>
      <c r="E10">
        <v>1529.2899999999991</v>
      </c>
      <c r="F10">
        <v>1461.4699999999998</v>
      </c>
      <c r="G10">
        <v>1481.02</v>
      </c>
      <c r="H10">
        <v>1618.18</v>
      </c>
      <c r="I10">
        <v>1590.85</v>
      </c>
      <c r="J10">
        <v>1565.02</v>
      </c>
      <c r="K10">
        <v>1498.13</v>
      </c>
      <c r="L10">
        <v>1474.33</v>
      </c>
    </row>
    <row r="11" spans="1:12" x14ac:dyDescent="0.25">
      <c r="A11" s="1">
        <v>11</v>
      </c>
      <c r="B11" s="1" t="str">
        <f t="shared" ref="B11:B53" si="1">"SU"&amp;"0"&amp;A11</f>
        <v>SU011</v>
      </c>
      <c r="C11">
        <v>1120.8499999999999</v>
      </c>
      <c r="D11">
        <v>1118.4000000000001</v>
      </c>
      <c r="E11">
        <v>1066.81</v>
      </c>
      <c r="F11">
        <v>1071.04</v>
      </c>
      <c r="G11">
        <v>1042.17</v>
      </c>
      <c r="H11">
        <v>1109.3800000000001</v>
      </c>
      <c r="I11">
        <v>1119.0999999999999</v>
      </c>
      <c r="J11">
        <v>1093.27</v>
      </c>
      <c r="K11">
        <v>1069.1400000000001</v>
      </c>
      <c r="L11">
        <v>1059.48</v>
      </c>
    </row>
    <row r="12" spans="1:12" x14ac:dyDescent="0.25">
      <c r="A12" s="1">
        <v>12</v>
      </c>
      <c r="B12" s="1" t="str">
        <f t="shared" si="1"/>
        <v>SU012</v>
      </c>
      <c r="C12">
        <v>2651.3</v>
      </c>
      <c r="D12">
        <v>2637</v>
      </c>
      <c r="E12">
        <v>2612.02</v>
      </c>
      <c r="F12">
        <v>2612.0699999999997</v>
      </c>
      <c r="G12">
        <v>2582.8500000000004</v>
      </c>
      <c r="H12">
        <v>2639.27</v>
      </c>
      <c r="I12">
        <v>2639.18</v>
      </c>
      <c r="J12">
        <v>2627.62</v>
      </c>
      <c r="K12">
        <v>2610.6400000000003</v>
      </c>
      <c r="L12">
        <v>2599.92</v>
      </c>
    </row>
    <row r="13" spans="1:12" x14ac:dyDescent="0.25">
      <c r="A13" s="1">
        <v>14</v>
      </c>
      <c r="B13" s="1" t="str">
        <f t="shared" si="1"/>
        <v>SU014</v>
      </c>
      <c r="C13">
        <v>4271.68</v>
      </c>
      <c r="D13">
        <v>4271.7</v>
      </c>
      <c r="E13">
        <v>4149.8899999999994</v>
      </c>
      <c r="F13">
        <v>4166.4399999999996</v>
      </c>
      <c r="G13">
        <v>4069.3</v>
      </c>
      <c r="H13">
        <v>4283.7800000000007</v>
      </c>
      <c r="I13">
        <v>4281.2699999999995</v>
      </c>
      <c r="J13">
        <v>4217.9600000000009</v>
      </c>
      <c r="K13">
        <v>4162.5</v>
      </c>
      <c r="L13">
        <v>4125.7699999999995</v>
      </c>
    </row>
    <row r="14" spans="1:12" x14ac:dyDescent="0.25">
      <c r="A14" s="1">
        <v>15</v>
      </c>
      <c r="B14" s="1" t="str">
        <f t="shared" si="1"/>
        <v>SU015</v>
      </c>
      <c r="C14">
        <v>3823.46</v>
      </c>
      <c r="D14">
        <v>3824.11</v>
      </c>
      <c r="E14">
        <v>3495.7799999999988</v>
      </c>
      <c r="F14">
        <v>3404.84</v>
      </c>
      <c r="G14">
        <v>3469.28</v>
      </c>
      <c r="H14">
        <v>3837.86</v>
      </c>
      <c r="I14">
        <v>3828.15</v>
      </c>
      <c r="J14">
        <v>3663.11</v>
      </c>
      <c r="K14">
        <v>3454.06</v>
      </c>
      <c r="L14">
        <v>3437.94</v>
      </c>
    </row>
    <row r="15" spans="1:12" x14ac:dyDescent="0.25">
      <c r="A15" s="1">
        <v>16</v>
      </c>
      <c r="B15" s="1" t="str">
        <f t="shared" si="1"/>
        <v>SU016</v>
      </c>
      <c r="C15">
        <v>2584.6400000000003</v>
      </c>
      <c r="D15">
        <v>2581.2000000000003</v>
      </c>
      <c r="E15">
        <v>2545.3099999999981</v>
      </c>
      <c r="F15">
        <v>2576.6500000000005</v>
      </c>
      <c r="G15">
        <v>2559.77</v>
      </c>
      <c r="H15">
        <v>2592.4399999999996</v>
      </c>
      <c r="I15">
        <v>2592.4499999999998</v>
      </c>
      <c r="J15">
        <v>2574.37</v>
      </c>
      <c r="K15">
        <v>2570.63</v>
      </c>
      <c r="L15">
        <v>2575.08</v>
      </c>
    </row>
    <row r="16" spans="1:12" x14ac:dyDescent="0.25">
      <c r="A16" s="1">
        <v>17</v>
      </c>
      <c r="B16" s="1" t="str">
        <f t="shared" si="1"/>
        <v>SU017</v>
      </c>
      <c r="C16">
        <v>838.76</v>
      </c>
      <c r="D16">
        <v>835.24000000000012</v>
      </c>
      <c r="E16">
        <v>774.76999999999987</v>
      </c>
      <c r="F16">
        <v>796.19</v>
      </c>
      <c r="G16">
        <v>769.17000000000007</v>
      </c>
      <c r="H16">
        <v>857.52</v>
      </c>
      <c r="I16">
        <v>836.84999999999991</v>
      </c>
      <c r="J16">
        <v>807.47</v>
      </c>
      <c r="K16">
        <v>786.25</v>
      </c>
      <c r="L16">
        <v>782.54000000000008</v>
      </c>
    </row>
    <row r="17" spans="1:12" x14ac:dyDescent="0.25">
      <c r="A17" s="1">
        <v>19</v>
      </c>
      <c r="B17" s="1" t="str">
        <f t="shared" si="1"/>
        <v>SU019</v>
      </c>
      <c r="C17">
        <v>404.45</v>
      </c>
      <c r="D17">
        <v>403.5</v>
      </c>
      <c r="E17">
        <v>446.85</v>
      </c>
      <c r="F17">
        <v>415.9</v>
      </c>
      <c r="G17">
        <v>449</v>
      </c>
      <c r="H17">
        <v>411.60999999999996</v>
      </c>
      <c r="I17">
        <v>403.5</v>
      </c>
      <c r="J17">
        <v>423.7</v>
      </c>
      <c r="K17">
        <v>428.43</v>
      </c>
      <c r="L17">
        <v>450.35</v>
      </c>
    </row>
    <row r="18" spans="1:12" x14ac:dyDescent="0.25">
      <c r="A18" s="1">
        <v>20</v>
      </c>
      <c r="B18" s="1" t="str">
        <f t="shared" si="1"/>
        <v>SU020</v>
      </c>
      <c r="C18">
        <v>1979.17</v>
      </c>
      <c r="D18">
        <v>1982.08</v>
      </c>
      <c r="E18">
        <v>1970.5900000000001</v>
      </c>
      <c r="F18">
        <v>1957.07</v>
      </c>
      <c r="G18">
        <v>1962.7700000000002</v>
      </c>
      <c r="H18">
        <v>1999.79</v>
      </c>
      <c r="I18">
        <v>1989.94</v>
      </c>
      <c r="J18">
        <v>1987.9599999999998</v>
      </c>
      <c r="K18">
        <v>1981.18</v>
      </c>
      <c r="L18">
        <v>1976.73</v>
      </c>
    </row>
    <row r="19" spans="1:12" x14ac:dyDescent="0.25">
      <c r="A19" s="1">
        <v>21</v>
      </c>
      <c r="B19" s="1" t="str">
        <f t="shared" si="1"/>
        <v>SU021</v>
      </c>
      <c r="C19">
        <v>1835.14</v>
      </c>
      <c r="D19">
        <v>1834.41</v>
      </c>
      <c r="E19">
        <v>1773.7600000000002</v>
      </c>
      <c r="F19">
        <v>1813.29</v>
      </c>
      <c r="G19">
        <v>1852.69</v>
      </c>
      <c r="H19">
        <v>1853.9099999999999</v>
      </c>
      <c r="I19">
        <v>1836.6599999999999</v>
      </c>
      <c r="J19">
        <v>1808.3799999999999</v>
      </c>
      <c r="K19">
        <v>1799.65</v>
      </c>
      <c r="L19">
        <v>1837.0199999999998</v>
      </c>
    </row>
    <row r="20" spans="1:12" x14ac:dyDescent="0.25">
      <c r="A20" s="1">
        <v>22</v>
      </c>
      <c r="B20" s="1" t="str">
        <f t="shared" si="1"/>
        <v>SU022</v>
      </c>
      <c r="C20">
        <v>2026.55</v>
      </c>
      <c r="D20">
        <v>2026.83</v>
      </c>
      <c r="E20">
        <v>2007.06</v>
      </c>
      <c r="F20">
        <v>2050.7600000000002</v>
      </c>
      <c r="G20">
        <v>1987.76</v>
      </c>
      <c r="H20">
        <v>2021.94</v>
      </c>
      <c r="I20">
        <v>2033.4</v>
      </c>
      <c r="J20">
        <v>2021.4299999999998</v>
      </c>
      <c r="K20">
        <v>2030.84</v>
      </c>
      <c r="L20">
        <v>2023.57</v>
      </c>
    </row>
    <row r="21" spans="1:12" x14ac:dyDescent="0.25">
      <c r="A21" s="1">
        <v>23</v>
      </c>
      <c r="B21" s="1" t="str">
        <f t="shared" si="1"/>
        <v>SU023</v>
      </c>
      <c r="C21">
        <v>2532.12</v>
      </c>
      <c r="D21">
        <v>2525.4900000000002</v>
      </c>
      <c r="E21">
        <v>2397.31</v>
      </c>
      <c r="F21">
        <v>2404.1400000000003</v>
      </c>
      <c r="G21">
        <v>2376.63</v>
      </c>
      <c r="H21">
        <v>2565.42</v>
      </c>
      <c r="I21">
        <v>2530.14</v>
      </c>
      <c r="J21">
        <v>2468</v>
      </c>
      <c r="K21">
        <v>2404.5299999999997</v>
      </c>
      <c r="L21">
        <v>2398.54</v>
      </c>
    </row>
    <row r="22" spans="1:12" x14ac:dyDescent="0.25">
      <c r="A22" s="1">
        <v>24</v>
      </c>
      <c r="B22" s="1" t="str">
        <f t="shared" si="1"/>
        <v>SU024</v>
      </c>
      <c r="C22">
        <v>944.93000000000006</v>
      </c>
      <c r="D22">
        <v>944.69</v>
      </c>
      <c r="E22">
        <v>873.99999999999989</v>
      </c>
      <c r="F22">
        <v>854.67</v>
      </c>
      <c r="G22">
        <v>912.79000000000008</v>
      </c>
      <c r="H22">
        <v>926.51</v>
      </c>
      <c r="I22">
        <v>947.02</v>
      </c>
      <c r="J22">
        <v>909.66000000000008</v>
      </c>
      <c r="K22">
        <v>865.4</v>
      </c>
      <c r="L22">
        <v>886.53</v>
      </c>
    </row>
    <row r="23" spans="1:12" x14ac:dyDescent="0.25">
      <c r="A23" s="1">
        <v>25</v>
      </c>
      <c r="B23" s="1" t="str">
        <f t="shared" si="1"/>
        <v>SU025</v>
      </c>
      <c r="C23">
        <v>1770.48</v>
      </c>
      <c r="D23">
        <v>1816.6499999999999</v>
      </c>
      <c r="E23">
        <v>1687.75</v>
      </c>
      <c r="F23">
        <v>1739.5099999999998</v>
      </c>
      <c r="G23">
        <v>1694.62</v>
      </c>
      <c r="H23">
        <v>1765.48</v>
      </c>
      <c r="I23">
        <v>1803.4699999999998</v>
      </c>
      <c r="J23">
        <v>1755.22</v>
      </c>
      <c r="K23">
        <v>1721.54</v>
      </c>
      <c r="L23">
        <v>1726.6100000000001</v>
      </c>
    </row>
    <row r="24" spans="1:12" x14ac:dyDescent="0.25">
      <c r="A24" s="1">
        <v>26</v>
      </c>
      <c r="B24" s="1" t="str">
        <f t="shared" si="1"/>
        <v>SU026</v>
      </c>
      <c r="C24">
        <v>1622.95</v>
      </c>
      <c r="D24">
        <v>1617.05</v>
      </c>
      <c r="E24">
        <v>1571.02</v>
      </c>
      <c r="F24">
        <v>1541.28</v>
      </c>
      <c r="G24">
        <v>1493.92</v>
      </c>
      <c r="H24">
        <v>1650.57</v>
      </c>
      <c r="I24">
        <v>1624.6</v>
      </c>
      <c r="J24">
        <v>1595.75</v>
      </c>
      <c r="K24">
        <v>1559.04</v>
      </c>
      <c r="L24">
        <v>1519.1399999999999</v>
      </c>
    </row>
    <row r="25" spans="1:12" x14ac:dyDescent="0.25">
      <c r="A25" s="1">
        <v>27</v>
      </c>
      <c r="B25" s="1" t="str">
        <f t="shared" si="1"/>
        <v>SU027</v>
      </c>
      <c r="C25">
        <v>1836.67</v>
      </c>
      <c r="D25">
        <v>1840.25</v>
      </c>
      <c r="E25">
        <v>1751.1800000000003</v>
      </c>
      <c r="F25">
        <v>1780.5900000000001</v>
      </c>
      <c r="G25">
        <v>1779.91</v>
      </c>
      <c r="H25">
        <v>1845.32</v>
      </c>
      <c r="I25">
        <v>1847.0699999999997</v>
      </c>
      <c r="J25">
        <v>1801.33</v>
      </c>
      <c r="K25">
        <v>1772.0900000000001</v>
      </c>
      <c r="L25">
        <v>1787.81</v>
      </c>
    </row>
    <row r="26" spans="1:12" x14ac:dyDescent="0.25">
      <c r="A26" s="1">
        <v>28</v>
      </c>
      <c r="B26" s="1" t="str">
        <f t="shared" si="1"/>
        <v>SU028</v>
      </c>
      <c r="C26">
        <v>879.11</v>
      </c>
      <c r="D26">
        <v>869.15000000000009</v>
      </c>
      <c r="E26">
        <v>852.35</v>
      </c>
      <c r="F26">
        <v>832.85</v>
      </c>
      <c r="G26">
        <v>803.54</v>
      </c>
      <c r="H26">
        <v>886.24</v>
      </c>
      <c r="I26">
        <v>871.59999999999991</v>
      </c>
      <c r="J26">
        <v>863.2700000000001</v>
      </c>
      <c r="K26">
        <v>845.07999999999993</v>
      </c>
      <c r="L26">
        <v>818.61</v>
      </c>
    </row>
    <row r="27" spans="1:12" x14ac:dyDescent="0.25">
      <c r="A27" s="1">
        <v>30</v>
      </c>
      <c r="B27" s="1" t="str">
        <f t="shared" si="1"/>
        <v>SU030</v>
      </c>
      <c r="C27">
        <v>1625.1299999999997</v>
      </c>
      <c r="D27">
        <v>1640.96</v>
      </c>
      <c r="E27">
        <v>1649.3600000000001</v>
      </c>
      <c r="F27">
        <v>1699.3899999999999</v>
      </c>
      <c r="G27">
        <v>1676.3300000000002</v>
      </c>
      <c r="H27">
        <v>1640.67</v>
      </c>
      <c r="I27">
        <v>1636.6900000000003</v>
      </c>
      <c r="J27">
        <v>1647.5100000000002</v>
      </c>
      <c r="K27">
        <v>1675.4499999999998</v>
      </c>
      <c r="L27">
        <v>1692.9300000000003</v>
      </c>
    </row>
    <row r="28" spans="1:12" x14ac:dyDescent="0.25">
      <c r="A28" s="1">
        <v>31</v>
      </c>
      <c r="B28" s="1" t="str">
        <f t="shared" si="1"/>
        <v>SU031</v>
      </c>
      <c r="C28">
        <v>2701.9</v>
      </c>
      <c r="D28">
        <v>2719.8900000000003</v>
      </c>
      <c r="E28">
        <v>2622.8</v>
      </c>
      <c r="F28">
        <v>2613.58</v>
      </c>
      <c r="G28">
        <v>2614.81</v>
      </c>
      <c r="H28">
        <v>2701.3499999999995</v>
      </c>
      <c r="I28">
        <v>2720.95</v>
      </c>
      <c r="J28">
        <v>2680.36</v>
      </c>
      <c r="K28">
        <v>2627.2599999999998</v>
      </c>
      <c r="L28">
        <v>2629.46</v>
      </c>
    </row>
    <row r="29" spans="1:12" x14ac:dyDescent="0.25">
      <c r="A29" s="1">
        <v>32</v>
      </c>
      <c r="B29" s="1" t="str">
        <f t="shared" si="1"/>
        <v>SU032</v>
      </c>
      <c r="C29">
        <v>1470.0100000000002</v>
      </c>
      <c r="D29">
        <v>1463.4699999999998</v>
      </c>
      <c r="E29">
        <v>1438.21</v>
      </c>
      <c r="F29">
        <v>1365.6599999999999</v>
      </c>
      <c r="G29">
        <v>1340.54</v>
      </c>
      <c r="H29">
        <v>1487.06</v>
      </c>
      <c r="I29">
        <v>1478.6499999999999</v>
      </c>
      <c r="J29">
        <v>1457.08</v>
      </c>
      <c r="K29">
        <v>1407.1399999999999</v>
      </c>
      <c r="L29">
        <v>1356.8600000000001</v>
      </c>
    </row>
    <row r="30" spans="1:12" x14ac:dyDescent="0.25">
      <c r="A30" s="1">
        <v>33</v>
      </c>
      <c r="B30" s="1" t="str">
        <f t="shared" si="1"/>
        <v>SU033</v>
      </c>
      <c r="C30">
        <v>791.38000000000011</v>
      </c>
      <c r="D30">
        <v>789.8</v>
      </c>
      <c r="E30">
        <v>699.32999999999993</v>
      </c>
      <c r="F30">
        <v>705.28</v>
      </c>
      <c r="G30">
        <v>709.67000000000007</v>
      </c>
      <c r="H30">
        <v>785.78</v>
      </c>
      <c r="I30">
        <v>794.2</v>
      </c>
      <c r="J30">
        <v>752.19</v>
      </c>
      <c r="K30">
        <v>709.43000000000006</v>
      </c>
      <c r="L30">
        <v>711.44999999999993</v>
      </c>
    </row>
    <row r="31" spans="1:12" x14ac:dyDescent="0.25">
      <c r="A31" s="1">
        <v>34</v>
      </c>
      <c r="B31" s="1" t="str">
        <f t="shared" si="1"/>
        <v>SU034</v>
      </c>
      <c r="C31">
        <v>1079.05</v>
      </c>
      <c r="D31">
        <v>1082.46</v>
      </c>
      <c r="E31">
        <v>1079.27</v>
      </c>
      <c r="F31">
        <v>1066.6100000000001</v>
      </c>
      <c r="G31">
        <v>986.5</v>
      </c>
      <c r="H31">
        <v>1092.2099999999998</v>
      </c>
      <c r="I31">
        <v>1093.8600000000001</v>
      </c>
      <c r="J31">
        <v>1093.92</v>
      </c>
      <c r="K31">
        <v>1083.29</v>
      </c>
      <c r="L31">
        <v>1036.81</v>
      </c>
    </row>
    <row r="32" spans="1:12" x14ac:dyDescent="0.25">
      <c r="A32" s="1">
        <v>35</v>
      </c>
      <c r="B32" s="1" t="str">
        <f t="shared" si="1"/>
        <v>SU035</v>
      </c>
      <c r="C32">
        <v>1071.6599999999999</v>
      </c>
      <c r="D32">
        <v>1085.5900000000001</v>
      </c>
      <c r="E32">
        <v>1057.9099999999999</v>
      </c>
      <c r="F32">
        <v>1026.0300000000002</v>
      </c>
      <c r="G32">
        <v>1015.0699999999999</v>
      </c>
      <c r="H32">
        <v>1070.2</v>
      </c>
      <c r="I32">
        <v>1082.81</v>
      </c>
      <c r="J32">
        <v>1077.79</v>
      </c>
      <c r="K32">
        <v>1047.5999999999999</v>
      </c>
      <c r="L32">
        <v>1031.0899999999997</v>
      </c>
    </row>
    <row r="33" spans="1:12" x14ac:dyDescent="0.25">
      <c r="A33" s="1">
        <v>36</v>
      </c>
      <c r="B33" s="1" t="str">
        <f t="shared" si="1"/>
        <v>SU036</v>
      </c>
      <c r="C33">
        <v>1580.84</v>
      </c>
      <c r="D33">
        <v>1579.25</v>
      </c>
      <c r="E33">
        <v>1549.65</v>
      </c>
      <c r="F33">
        <v>1509.23</v>
      </c>
      <c r="G33">
        <v>1453.01</v>
      </c>
      <c r="H33">
        <v>1582.2700000000002</v>
      </c>
      <c r="I33">
        <v>1590.9300000000003</v>
      </c>
      <c r="J33">
        <v>1570.0700000000002</v>
      </c>
      <c r="K33">
        <v>1536.86</v>
      </c>
      <c r="L33">
        <v>1488.14</v>
      </c>
    </row>
    <row r="34" spans="1:12" x14ac:dyDescent="0.25">
      <c r="A34" s="1">
        <v>40</v>
      </c>
      <c r="B34" s="1" t="str">
        <f t="shared" si="1"/>
        <v>SU040</v>
      </c>
      <c r="C34">
        <v>1840.3299999999997</v>
      </c>
      <c r="D34">
        <v>1840.4599999999998</v>
      </c>
      <c r="E34">
        <v>1819.5799999999988</v>
      </c>
      <c r="F34">
        <v>1765.78</v>
      </c>
      <c r="G34">
        <v>1735.43</v>
      </c>
      <c r="H34">
        <v>1902.32</v>
      </c>
      <c r="I34">
        <v>1851.15</v>
      </c>
      <c r="J34">
        <v>1838.8000000000002</v>
      </c>
      <c r="K34">
        <v>1798.1100000000001</v>
      </c>
      <c r="L34">
        <v>1753.61</v>
      </c>
    </row>
    <row r="35" spans="1:12" x14ac:dyDescent="0.25">
      <c r="A35" s="1">
        <v>42</v>
      </c>
      <c r="B35" s="1" t="str">
        <f t="shared" si="1"/>
        <v>SU042</v>
      </c>
      <c r="C35">
        <v>1821</v>
      </c>
      <c r="D35">
        <v>1810.2600000000002</v>
      </c>
      <c r="E35">
        <v>1795.1399999999999</v>
      </c>
      <c r="F35">
        <v>1780.58</v>
      </c>
      <c r="G35">
        <v>1786.13</v>
      </c>
      <c r="H35">
        <v>1834.92</v>
      </c>
      <c r="I35">
        <v>1819.49</v>
      </c>
      <c r="J35">
        <v>1805.77</v>
      </c>
      <c r="K35">
        <v>1792.6599999999999</v>
      </c>
      <c r="L35">
        <v>1785.42</v>
      </c>
    </row>
    <row r="36" spans="1:12" x14ac:dyDescent="0.25">
      <c r="A36" s="1">
        <v>46</v>
      </c>
      <c r="B36" s="1" t="str">
        <f t="shared" si="1"/>
        <v>SU046</v>
      </c>
      <c r="C36">
        <v>1004.87</v>
      </c>
      <c r="D36">
        <v>1033.3900000000001</v>
      </c>
      <c r="E36">
        <v>963.75</v>
      </c>
      <c r="F36">
        <v>931.56000000000006</v>
      </c>
      <c r="G36">
        <v>856.55</v>
      </c>
      <c r="H36">
        <v>1017.0600000000001</v>
      </c>
      <c r="I36">
        <v>1023.9100000000001</v>
      </c>
      <c r="J36">
        <v>1002.59</v>
      </c>
      <c r="K36">
        <v>948.95</v>
      </c>
      <c r="L36">
        <v>898.59</v>
      </c>
    </row>
    <row r="37" spans="1:12" x14ac:dyDescent="0.25">
      <c r="A37" s="1">
        <v>47</v>
      </c>
      <c r="B37" s="1" t="str">
        <f t="shared" si="1"/>
        <v>SU047</v>
      </c>
      <c r="C37">
        <v>1197.42</v>
      </c>
      <c r="D37">
        <v>1202.03</v>
      </c>
      <c r="E37">
        <v>1090.4799999999998</v>
      </c>
      <c r="F37">
        <v>1092.8600000000001</v>
      </c>
      <c r="G37">
        <v>1067.3999999999999</v>
      </c>
      <c r="H37">
        <v>1213.78</v>
      </c>
      <c r="I37">
        <v>1206.01</v>
      </c>
      <c r="J37">
        <v>1151.22</v>
      </c>
      <c r="K37">
        <v>1093.1200000000001</v>
      </c>
      <c r="L37">
        <v>1082.1599999999999</v>
      </c>
    </row>
    <row r="38" spans="1:12" x14ac:dyDescent="0.25">
      <c r="A38" s="1">
        <v>48</v>
      </c>
      <c r="B38" s="1" t="str">
        <f t="shared" si="1"/>
        <v>SU048</v>
      </c>
      <c r="C38">
        <v>2571.37</v>
      </c>
      <c r="D38">
        <v>2571.7600000000002</v>
      </c>
      <c r="E38">
        <v>2415.3500000000004</v>
      </c>
      <c r="F38">
        <v>2470.9</v>
      </c>
      <c r="G38">
        <v>2475.25</v>
      </c>
      <c r="H38">
        <v>2579.4900000000002</v>
      </c>
      <c r="I38">
        <v>2590.1000000000004</v>
      </c>
      <c r="J38">
        <v>2506.37</v>
      </c>
      <c r="K38">
        <v>2492.1</v>
      </c>
      <c r="L38">
        <v>2482.8099999999995</v>
      </c>
    </row>
    <row r="39" spans="1:12" x14ac:dyDescent="0.25">
      <c r="A39" s="1">
        <v>49</v>
      </c>
      <c r="B39" s="1" t="str">
        <f t="shared" si="1"/>
        <v>SU049</v>
      </c>
      <c r="C39">
        <v>703.12</v>
      </c>
      <c r="D39">
        <v>707.3</v>
      </c>
      <c r="E39">
        <v>637.1</v>
      </c>
      <c r="F39">
        <v>643.65000000000009</v>
      </c>
      <c r="G39">
        <v>672.8900000000001</v>
      </c>
      <c r="H39">
        <v>713.64</v>
      </c>
      <c r="I39">
        <v>708.4</v>
      </c>
      <c r="J39">
        <v>674.54</v>
      </c>
      <c r="K39">
        <v>642.31999999999994</v>
      </c>
      <c r="L39">
        <v>657.78</v>
      </c>
    </row>
    <row r="40" spans="1:12" x14ac:dyDescent="0.25">
      <c r="A40" s="1">
        <v>51</v>
      </c>
      <c r="B40" s="1" t="str">
        <f t="shared" si="1"/>
        <v>SU051</v>
      </c>
      <c r="C40">
        <v>987.64</v>
      </c>
      <c r="D40">
        <v>1007.45</v>
      </c>
      <c r="E40">
        <v>1018.5500000000001</v>
      </c>
      <c r="F40">
        <v>993.33999999999992</v>
      </c>
      <c r="G40">
        <v>973.67</v>
      </c>
      <c r="H40">
        <v>983.97</v>
      </c>
      <c r="I40">
        <v>999.29</v>
      </c>
      <c r="J40">
        <v>1015.8700000000001</v>
      </c>
      <c r="K40">
        <v>1007.0199999999999</v>
      </c>
      <c r="L40">
        <v>984.23</v>
      </c>
    </row>
    <row r="41" spans="1:12" x14ac:dyDescent="0.25">
      <c r="A41" s="1">
        <v>52</v>
      </c>
      <c r="B41" s="1" t="str">
        <f t="shared" si="1"/>
        <v>SU052</v>
      </c>
      <c r="C41">
        <v>1416.87</v>
      </c>
      <c r="D41">
        <v>1416.62</v>
      </c>
      <c r="E41">
        <v>1351.11</v>
      </c>
      <c r="F41">
        <v>1353.12</v>
      </c>
      <c r="G41">
        <v>1347.6</v>
      </c>
      <c r="H41">
        <v>1380.01</v>
      </c>
      <c r="I41">
        <v>1420.84</v>
      </c>
      <c r="J41">
        <v>1386.12</v>
      </c>
      <c r="K41">
        <v>1360.57</v>
      </c>
      <c r="L41">
        <v>1350.4299999999998</v>
      </c>
    </row>
    <row r="42" spans="1:12" x14ac:dyDescent="0.25">
      <c r="A42" s="1">
        <v>54</v>
      </c>
      <c r="B42" s="1" t="str">
        <f t="shared" si="1"/>
        <v>SU054</v>
      </c>
      <c r="C42">
        <v>1368.3899999999999</v>
      </c>
      <c r="D42">
        <v>1368.82</v>
      </c>
      <c r="E42">
        <v>1328.4699999999998</v>
      </c>
      <c r="F42">
        <v>1300.3500000000001</v>
      </c>
      <c r="G42">
        <v>1314.66</v>
      </c>
      <c r="H42">
        <v>1391.98</v>
      </c>
      <c r="I42">
        <v>1369.99</v>
      </c>
      <c r="J42">
        <v>1350.25</v>
      </c>
      <c r="K42">
        <v>1315.8</v>
      </c>
      <c r="L42">
        <v>1308.4899999999998</v>
      </c>
    </row>
    <row r="43" spans="1:12" x14ac:dyDescent="0.25">
      <c r="A43" s="1">
        <v>55</v>
      </c>
      <c r="B43" s="1" t="str">
        <f t="shared" si="1"/>
        <v>SU055</v>
      </c>
      <c r="C43">
        <v>637.42999999999995</v>
      </c>
      <c r="D43">
        <v>637.42999999999995</v>
      </c>
      <c r="E43">
        <v>615.5</v>
      </c>
      <c r="F43">
        <v>620</v>
      </c>
      <c r="G43">
        <v>611</v>
      </c>
      <c r="H43">
        <v>614.28</v>
      </c>
      <c r="I43">
        <v>640.25</v>
      </c>
      <c r="J43">
        <v>627.41</v>
      </c>
      <c r="K43">
        <v>618.51</v>
      </c>
      <c r="L43">
        <v>615.5</v>
      </c>
    </row>
    <row r="44" spans="1:12" x14ac:dyDescent="0.25">
      <c r="A44" s="1">
        <v>56</v>
      </c>
      <c r="B44" s="1" t="str">
        <f t="shared" si="1"/>
        <v>SU056</v>
      </c>
      <c r="C44">
        <v>1245.4399999999998</v>
      </c>
      <c r="D44">
        <v>1253.7099999999998</v>
      </c>
      <c r="E44">
        <v>1227.3799999999997</v>
      </c>
      <c r="F44">
        <v>1237.99</v>
      </c>
      <c r="G44">
        <v>1223.25</v>
      </c>
      <c r="H44">
        <v>1229.24</v>
      </c>
      <c r="I44">
        <v>1258.8499999999999</v>
      </c>
      <c r="J44">
        <v>1248.99</v>
      </c>
      <c r="K44">
        <v>1237.1600000000001</v>
      </c>
      <c r="L44">
        <v>1236.1299999999999</v>
      </c>
    </row>
    <row r="45" spans="1:12" x14ac:dyDescent="0.25">
      <c r="A45" s="1">
        <v>61</v>
      </c>
      <c r="B45" s="1" t="str">
        <f t="shared" si="1"/>
        <v>SU061</v>
      </c>
      <c r="C45">
        <v>2359.31</v>
      </c>
      <c r="D45">
        <v>2348.8199999999997</v>
      </c>
      <c r="E45">
        <v>2152.6399999999994</v>
      </c>
      <c r="F45">
        <v>2179.3199999999997</v>
      </c>
      <c r="G45">
        <v>2216.0699999999997</v>
      </c>
      <c r="H45">
        <v>2373.4399999999996</v>
      </c>
      <c r="I45">
        <v>2368.2399999999998</v>
      </c>
      <c r="J45">
        <v>2258.86</v>
      </c>
      <c r="K45">
        <v>2177.5200000000004</v>
      </c>
      <c r="L45">
        <v>2211.69</v>
      </c>
    </row>
    <row r="46" spans="1:12" x14ac:dyDescent="0.25">
      <c r="A46" s="1">
        <v>63</v>
      </c>
      <c r="B46" s="1" t="str">
        <f t="shared" si="1"/>
        <v>SU063</v>
      </c>
      <c r="C46">
        <v>1011.1899999999999</v>
      </c>
      <c r="D46">
        <v>1011.5400000000001</v>
      </c>
      <c r="E46">
        <v>992.8900000000001</v>
      </c>
      <c r="F46">
        <v>944.65000000000009</v>
      </c>
      <c r="G46">
        <v>951.82999999999993</v>
      </c>
      <c r="H46">
        <v>1045.4099999999999</v>
      </c>
      <c r="I46">
        <v>1017.68</v>
      </c>
      <c r="J46">
        <v>1004.86</v>
      </c>
      <c r="K46">
        <v>971.8599999999999</v>
      </c>
      <c r="L46">
        <v>950.78000000000009</v>
      </c>
    </row>
    <row r="47" spans="1:12" x14ac:dyDescent="0.25">
      <c r="A47" s="1">
        <v>64</v>
      </c>
      <c r="B47" s="1" t="str">
        <f t="shared" si="1"/>
        <v>SU064</v>
      </c>
      <c r="C47">
        <v>305.38</v>
      </c>
      <c r="D47">
        <v>303.63</v>
      </c>
      <c r="E47">
        <v>292.20999999999998</v>
      </c>
      <c r="F47">
        <v>289.72000000000003</v>
      </c>
      <c r="G47">
        <v>274.92</v>
      </c>
      <c r="H47">
        <v>310.27000000000004</v>
      </c>
      <c r="I47">
        <v>305.63</v>
      </c>
      <c r="J47">
        <v>298.92999999999995</v>
      </c>
      <c r="K47">
        <v>291.18</v>
      </c>
      <c r="L47">
        <v>282.36</v>
      </c>
    </row>
    <row r="48" spans="1:12" x14ac:dyDescent="0.25">
      <c r="A48" s="1">
        <v>65</v>
      </c>
      <c r="B48" s="1" t="str">
        <f t="shared" si="1"/>
        <v>SU065</v>
      </c>
      <c r="C48">
        <v>3789.2199999999993</v>
      </c>
      <c r="D48">
        <v>3789.1099999999992</v>
      </c>
      <c r="E48">
        <v>3730.7899999999977</v>
      </c>
      <c r="F48">
        <v>3643.6800000000003</v>
      </c>
      <c r="G48">
        <v>3579.1200000000003</v>
      </c>
      <c r="H48">
        <v>3827.9199999999996</v>
      </c>
      <c r="I48">
        <v>3793.8399999999997</v>
      </c>
      <c r="J48">
        <v>3769.2799999999997</v>
      </c>
      <c r="K48">
        <v>3697.19</v>
      </c>
      <c r="L48">
        <v>3621.3</v>
      </c>
    </row>
    <row r="49" spans="1:12" x14ac:dyDescent="0.25">
      <c r="A49" s="1">
        <v>66</v>
      </c>
      <c r="B49" s="1" t="str">
        <f t="shared" si="1"/>
        <v>SU066</v>
      </c>
      <c r="C49">
        <v>1863.1900000000003</v>
      </c>
      <c r="D49">
        <v>1858.2400000000002</v>
      </c>
      <c r="E49">
        <v>1848.33</v>
      </c>
      <c r="F49">
        <v>1892.5700000000002</v>
      </c>
      <c r="G49">
        <v>1899.34</v>
      </c>
      <c r="H49">
        <v>1851.4099999999999</v>
      </c>
      <c r="I49">
        <v>1868.56</v>
      </c>
      <c r="J49">
        <v>1864.4499999999998</v>
      </c>
      <c r="K49">
        <v>1881.11</v>
      </c>
      <c r="L49">
        <v>1903.81</v>
      </c>
    </row>
    <row r="50" spans="1:12" x14ac:dyDescent="0.25">
      <c r="A50" s="1">
        <v>67</v>
      </c>
      <c r="B50" s="1" t="str">
        <f t="shared" si="1"/>
        <v>SU067</v>
      </c>
      <c r="C50">
        <v>1807.16</v>
      </c>
      <c r="D50">
        <v>1807.23</v>
      </c>
      <c r="E50">
        <v>1791.55</v>
      </c>
      <c r="F50">
        <v>1756.8799999999999</v>
      </c>
      <c r="G50">
        <v>1724.5900000000001</v>
      </c>
      <c r="H50">
        <v>1838.21</v>
      </c>
      <c r="I50">
        <v>1812.9900000000002</v>
      </c>
      <c r="J50">
        <v>1801.7</v>
      </c>
      <c r="K50">
        <v>1777.4099999999999</v>
      </c>
      <c r="L50">
        <v>1749.79</v>
      </c>
    </row>
    <row r="51" spans="1:12" x14ac:dyDescent="0.25">
      <c r="A51" s="1">
        <v>68</v>
      </c>
      <c r="B51" s="1" t="str">
        <f t="shared" si="1"/>
        <v>SU068</v>
      </c>
      <c r="C51">
        <v>1338.7199999999998</v>
      </c>
      <c r="D51">
        <v>1317.49</v>
      </c>
      <c r="E51">
        <v>1329.19</v>
      </c>
      <c r="F51">
        <v>1333.72</v>
      </c>
      <c r="G51">
        <v>1331.87</v>
      </c>
      <c r="H51">
        <v>1339.4</v>
      </c>
      <c r="I51">
        <v>1327.9299999999998</v>
      </c>
      <c r="J51">
        <v>1333.67</v>
      </c>
      <c r="K51">
        <v>1334.23</v>
      </c>
      <c r="L51">
        <v>1339.46</v>
      </c>
    </row>
    <row r="52" spans="1:12" x14ac:dyDescent="0.25">
      <c r="A52" s="1">
        <v>69</v>
      </c>
      <c r="B52" s="1" t="str">
        <f t="shared" si="1"/>
        <v>SU069</v>
      </c>
      <c r="C52">
        <v>1257.5899999999999</v>
      </c>
      <c r="D52">
        <v>1252.8599999999999</v>
      </c>
      <c r="E52">
        <v>1232.3700000000001</v>
      </c>
      <c r="F52">
        <v>1177.58</v>
      </c>
      <c r="G52">
        <v>1174.46</v>
      </c>
      <c r="H52">
        <v>1255.9299999999998</v>
      </c>
      <c r="I52">
        <v>1264.8400000000001</v>
      </c>
      <c r="J52">
        <v>1249.2600000000002</v>
      </c>
      <c r="K52">
        <v>1209.93</v>
      </c>
      <c r="L52">
        <v>1177.8100000000002</v>
      </c>
    </row>
    <row r="53" spans="1:12" x14ac:dyDescent="0.25">
      <c r="A53" s="1">
        <v>70</v>
      </c>
      <c r="B53" s="1" t="str">
        <f t="shared" si="1"/>
        <v>SU070</v>
      </c>
      <c r="C53">
        <v>0</v>
      </c>
      <c r="D53">
        <v>0</v>
      </c>
      <c r="E53">
        <v>0</v>
      </c>
      <c r="F53">
        <v>187</v>
      </c>
      <c r="G53">
        <v>186.20000000000002</v>
      </c>
      <c r="H53">
        <v>0</v>
      </c>
      <c r="I53">
        <v>0</v>
      </c>
      <c r="J53">
        <v>0</v>
      </c>
      <c r="K53">
        <v>187.49</v>
      </c>
      <c r="L53">
        <v>186.62</v>
      </c>
    </row>
    <row r="54" spans="1:12" x14ac:dyDescent="0.25">
      <c r="C54">
        <v>86548.12000000001</v>
      </c>
      <c r="D54">
        <v>86670.25</v>
      </c>
      <c r="E54">
        <v>83886.7</v>
      </c>
      <c r="F54">
        <v>83555.270000000019</v>
      </c>
      <c r="G54">
        <v>82611.299999999988</v>
      </c>
      <c r="H54">
        <v>87066.039999999964</v>
      </c>
      <c r="I54">
        <v>86903.32</v>
      </c>
      <c r="J54">
        <v>85564.289999999979</v>
      </c>
      <c r="K54">
        <v>84000.089999999982</v>
      </c>
      <c r="L54">
        <v>83368.109999999986</v>
      </c>
    </row>
    <row r="55" spans="1:12" x14ac:dyDescent="0.25">
      <c r="C55">
        <v>86548.12000000001</v>
      </c>
      <c r="D55">
        <v>86670.25</v>
      </c>
      <c r="E55">
        <v>83886.7</v>
      </c>
      <c r="F55">
        <v>83555.270000000019</v>
      </c>
      <c r="G55">
        <v>82611.299999999988</v>
      </c>
      <c r="H55">
        <v>87066.039999999964</v>
      </c>
      <c r="I55">
        <v>86903.32</v>
      </c>
      <c r="J55">
        <v>85564.289999999979</v>
      </c>
      <c r="K55">
        <v>84000.089999999982</v>
      </c>
      <c r="L55">
        <v>83368.109999999986</v>
      </c>
    </row>
    <row r="56" spans="1:12" x14ac:dyDescent="0.25">
      <c r="C56">
        <v>259644.36</v>
      </c>
      <c r="D56">
        <v>260010.75000000003</v>
      </c>
      <c r="E56">
        <v>251660.09999999998</v>
      </c>
      <c r="F56">
        <v>250665.81000000006</v>
      </c>
      <c r="G56">
        <v>247833.89999999997</v>
      </c>
      <c r="H56">
        <v>261198.11999999994</v>
      </c>
      <c r="I56">
        <v>260709.96000000002</v>
      </c>
      <c r="J56">
        <v>256692.86999999994</v>
      </c>
      <c r="K56">
        <v>252000.26999999996</v>
      </c>
      <c r="L56">
        <v>250104.32999999996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697F49F6ADB4CB222468838A2A844" ma:contentTypeVersion="15" ma:contentTypeDescription="Create a new document." ma:contentTypeScope="" ma:versionID="8be51f901ddf6092b57a89ef0ba04665">
  <xsd:schema xmlns:xsd="http://www.w3.org/2001/XMLSchema" xmlns:xs="http://www.w3.org/2001/XMLSchema" xmlns:p="http://schemas.microsoft.com/office/2006/metadata/properties" xmlns:ns2="a344e51f-736d-4585-a862-6005472b2ab6" xmlns:ns3="5000d94b-7e8a-40e7-9d68-0351dc281a4d" targetNamespace="http://schemas.microsoft.com/office/2006/metadata/properties" ma:root="true" ma:fieldsID="2b51ef2a35d4d601e949baf371d7b4ad" ns2:_="" ns3:_="">
    <xsd:import namespace="a344e51f-736d-4585-a862-6005472b2ab6"/>
    <xsd:import namespace="5000d94b-7e8a-40e7-9d68-0351dc281a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4e51f-736d-4585-a862-6005472b2a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995a61-8dc1-44a6-92ff-22eb4ba93a4d}" ma:internalName="TaxCatchAll" ma:showField="CatchAllData" ma:web="a344e51f-736d-4585-a862-6005472b2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0d94b-7e8a-40e7-9d68-0351dc281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00d94b-7e8a-40e7-9d68-0351dc281a4d">
      <Terms xmlns="http://schemas.microsoft.com/office/infopath/2007/PartnerControls"/>
    </lcf76f155ced4ddcb4097134ff3c332f>
    <TaxCatchAll xmlns="a344e51f-736d-4585-a862-6005472b2ab6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6458EE-249A-4EBC-B37F-60FDFD604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4e51f-736d-4585-a862-6005472b2ab6"/>
    <ds:schemaRef ds:uri="5000d94b-7e8a-40e7-9d68-0351dc281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23FCC-FDEC-4D57-A453-9FA8516D877C}">
  <ds:schemaRefs>
    <ds:schemaRef ds:uri="http://schemas.microsoft.com/office/2006/metadata/properties"/>
    <ds:schemaRef ds:uri="http://schemas.microsoft.com/office/infopath/2007/PartnerControls"/>
    <ds:schemaRef ds:uri="5000d94b-7e8a-40e7-9d68-0351dc281a4d"/>
    <ds:schemaRef ds:uri="a344e51f-736d-4585-a862-6005472b2ab6"/>
  </ds:schemaRefs>
</ds:datastoreItem>
</file>

<file path=customXml/itemProps3.xml><?xml version="1.0" encoding="utf-8"?>
<ds:datastoreItem xmlns:ds="http://schemas.openxmlformats.org/officeDocument/2006/customXml" ds:itemID="{C1CE4230-9C60-4573-BB16-D83B1F419A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ADM, LTADM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Silverstein</dc:creator>
  <cp:keywords/>
  <dc:description/>
  <cp:lastModifiedBy>Sprague, Suzanne</cp:lastModifiedBy>
  <cp:revision/>
  <dcterms:created xsi:type="dcterms:W3CDTF">2024-09-07T17:30:30Z</dcterms:created>
  <dcterms:modified xsi:type="dcterms:W3CDTF">2024-11-15T20:26:38Z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0x010100004697F49F6ADB4CB222468838A2A844</vt:lpwstr>
  </property>
  <property fmtid="{D5CDD505-2E9C-101B-9397-08002B2CF9AE}" pid="3" name="MediaServiceImageTags">
    <vt:lpwstr/>
  </property>
</Properties>
</file>